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1.xml" ContentType="application/vnd.openxmlformats-officedocument.drawing+xml"/>
  <Override PartName="/xl/tables/table10.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D:\EnvironmentWork\"/>
    </mc:Choice>
  </mc:AlternateContent>
  <xr:revisionPtr revIDLastSave="0" documentId="13_ncr:1_{E4DAE6D8-D676-4B6B-AADA-1C12C3C09AE2}" xr6:coauthVersionLast="47" xr6:coauthVersionMax="47" xr10:uidLastSave="{00000000-0000-0000-0000-000000000000}"/>
  <bookViews>
    <workbookView xWindow="-120" yWindow="-120" windowWidth="29040" windowHeight="15720" xr2:uid="{C5C0E64D-EEA8-4263-A9D4-581A42B15127}"/>
  </bookViews>
  <sheets>
    <sheet name="Instructions" sheetId="1" r:id="rId1"/>
    <sheet name="Utilities" sheetId="3" r:id="rId2"/>
    <sheet name="Vehicle" sheetId="4" r:id="rId3"/>
    <sheet name="Diet" sheetId="2" r:id="rId4"/>
    <sheet name="Travel" sheetId="5" r:id="rId5"/>
    <sheet name="Totals" sheetId="6" r:id="rId6"/>
  </sheets>
  <definedNames>
    <definedName name="Multiplier1">Travel!$C$20</definedName>
    <definedName name="Multiplier2">Travel!$D$20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2" l="1"/>
  <c r="I51" i="2" s="1"/>
  <c r="B51" i="2"/>
  <c r="I25" i="4" l="1"/>
  <c r="H25" i="4"/>
  <c r="C26" i="4"/>
  <c r="B26" i="4"/>
  <c r="G12" i="4"/>
  <c r="H29" i="4"/>
  <c r="C20" i="6"/>
  <c r="B20" i="6"/>
  <c r="C13" i="6"/>
  <c r="B13" i="6"/>
  <c r="H18" i="4"/>
  <c r="H20" i="4" s="1"/>
  <c r="H22" i="4" s="1"/>
  <c r="I18" i="4"/>
  <c r="I20" i="4" s="1"/>
  <c r="I22" i="4" s="1"/>
  <c r="I24" i="4" s="1"/>
  <c r="E29" i="4" s="1"/>
  <c r="C19" i="4"/>
  <c r="C21" i="4" s="1"/>
  <c r="C23" i="4" s="1"/>
  <c r="C25" i="4" s="1"/>
  <c r="C29" i="4" s="1"/>
  <c r="B19" i="4"/>
  <c r="B21" i="4" s="1"/>
  <c r="B23" i="4" s="1"/>
  <c r="B25" i="4" s="1"/>
  <c r="B29" i="4" s="1"/>
  <c r="B63" i="2"/>
  <c r="M8" i="5"/>
  <c r="M9" i="5"/>
  <c r="M10" i="5"/>
  <c r="M11" i="5"/>
  <c r="M12" i="5"/>
  <c r="M13" i="5"/>
  <c r="M14" i="5"/>
  <c r="M15" i="5"/>
  <c r="M16" i="5"/>
  <c r="M17" i="5"/>
  <c r="M18" i="5"/>
  <c r="M19" i="5"/>
  <c r="O29" i="3"/>
  <c r="J29" i="3"/>
  <c r="M30" i="3"/>
  <c r="M29" i="3"/>
  <c r="G30" i="3"/>
  <c r="F30" i="3"/>
  <c r="E30" i="3"/>
  <c r="G29" i="3"/>
  <c r="F29" i="3"/>
  <c r="E29" i="3"/>
  <c r="L30" i="3"/>
  <c r="K30" i="3"/>
  <c r="J30" i="3"/>
  <c r="I30" i="3"/>
  <c r="H30" i="3"/>
  <c r="D30" i="3"/>
  <c r="C30" i="3"/>
  <c r="B30" i="3"/>
  <c r="L29" i="3"/>
  <c r="K29" i="3"/>
  <c r="I29" i="3"/>
  <c r="H29" i="3"/>
  <c r="D29" i="3"/>
  <c r="C29" i="3"/>
  <c r="C32" i="3" s="1"/>
  <c r="J32" i="3" s="1"/>
  <c r="B10" i="6" s="1"/>
  <c r="C10" i="6" s="1"/>
  <c r="B29" i="3"/>
  <c r="B32" i="3" s="1"/>
  <c r="B9" i="6" s="1"/>
  <c r="I15" i="2"/>
  <c r="C49" i="2" s="1"/>
  <c r="B49" i="2" s="1"/>
  <c r="I14" i="2"/>
  <c r="C48" i="2" s="1"/>
  <c r="D48" i="2" s="1"/>
  <c r="I13" i="2"/>
  <c r="C47" i="2" s="1"/>
  <c r="I12" i="2"/>
  <c r="C46" i="2" s="1"/>
  <c r="B46" i="2" s="1"/>
  <c r="I11" i="2"/>
  <c r="C45" i="2" s="1"/>
  <c r="B45" i="2" s="1"/>
  <c r="I10" i="2"/>
  <c r="E48" i="2" l="1"/>
  <c r="I48" i="2"/>
  <c r="C9" i="6"/>
  <c r="H24" i="4"/>
  <c r="D29" i="4" s="1"/>
  <c r="B30" i="4" s="1"/>
  <c r="C44" i="2"/>
  <c r="D51" i="2"/>
  <c r="E51" i="2" s="1"/>
  <c r="B47" i="2"/>
  <c r="G48" i="2"/>
  <c r="H48" i="2"/>
  <c r="B48" i="2"/>
  <c r="F48" i="2"/>
  <c r="D49" i="2"/>
  <c r="I49" i="2" s="1"/>
  <c r="D47" i="2"/>
  <c r="I47" i="2" s="1"/>
  <c r="D46" i="2"/>
  <c r="I46" i="2" s="1"/>
  <c r="D45" i="2"/>
  <c r="I45" i="2" s="1"/>
  <c r="C12" i="6" l="1"/>
  <c r="B12" i="6"/>
  <c r="D44" i="2"/>
  <c r="B44" i="2"/>
  <c r="B50" i="2" s="1"/>
  <c r="B52" i="2" s="1"/>
  <c r="C50" i="2"/>
  <c r="C52" i="2" s="1"/>
  <c r="F51" i="2"/>
  <c r="H51" i="2"/>
  <c r="G51" i="2"/>
  <c r="G46" i="2"/>
  <c r="H46" i="2"/>
  <c r="G47" i="2"/>
  <c r="H47" i="2"/>
  <c r="H49" i="2"/>
  <c r="G49" i="2"/>
  <c r="G45" i="2"/>
  <c r="H45" i="2"/>
  <c r="E46" i="2"/>
  <c r="F46" i="2"/>
  <c r="F49" i="2"/>
  <c r="E49" i="2"/>
  <c r="F47" i="2"/>
  <c r="E47" i="2"/>
  <c r="E45" i="2"/>
  <c r="F45" i="2"/>
  <c r="G44" i="2" l="1"/>
  <c r="G50" i="2" s="1"/>
  <c r="G52" i="2" s="1"/>
  <c r="G54" i="2" s="1"/>
  <c r="I44" i="2"/>
  <c r="I50" i="2" s="1"/>
  <c r="I52" i="2" s="1"/>
  <c r="I54" i="2" s="1"/>
  <c r="D50" i="2"/>
  <c r="D52" i="2" s="1"/>
  <c r="E44" i="2"/>
  <c r="E50" i="2" s="1"/>
  <c r="E52" i="2" s="1"/>
  <c r="H44" i="2"/>
  <c r="H50" i="2" s="1"/>
  <c r="H52" i="2" s="1"/>
  <c r="H54" i="2" s="1"/>
  <c r="F44" i="2"/>
  <c r="F50" i="2" s="1"/>
  <c r="F52" i="2" s="1"/>
  <c r="B53" i="2"/>
  <c r="F53" i="2" s="1"/>
  <c r="I55" i="2" l="1"/>
  <c r="I66" i="2"/>
  <c r="H55" i="2"/>
  <c r="H66" i="2"/>
  <c r="G55" i="2"/>
  <c r="G66" i="2"/>
  <c r="E53" i="2"/>
  <c r="E54" i="2" s="1"/>
  <c r="E66" i="2" s="1"/>
  <c r="B54" i="2"/>
  <c r="B55" i="2" s="1"/>
  <c r="F54" i="2"/>
  <c r="C11" i="6" l="1"/>
  <c r="C14" i="6" s="1"/>
  <c r="C15" i="6" s="1"/>
  <c r="F66" i="2"/>
  <c r="B11" i="6" s="1"/>
  <c r="E55" i="2"/>
  <c r="F55" i="2"/>
  <c r="B14" i="6"/>
  <c r="M20" i="5"/>
  <c r="N17" i="5"/>
  <c r="N8" i="5"/>
  <c r="N9" i="5"/>
  <c r="N10" i="5"/>
  <c r="N11" i="5"/>
  <c r="N12" i="5"/>
  <c r="N13" i="5"/>
  <c r="N14" i="5"/>
  <c r="N15" i="5"/>
  <c r="N16" i="5"/>
  <c r="N18" i="5"/>
  <c r="N19" i="5"/>
  <c r="C21" i="6" l="1"/>
  <c r="C22" i="6" s="1"/>
  <c r="B21" i="6"/>
  <c r="B22" i="6" s="1"/>
  <c r="B15" i="6"/>
  <c r="N20" i="5"/>
</calcChain>
</file>

<file path=xl/sharedStrings.xml><?xml version="1.0" encoding="utf-8"?>
<sst xmlns="http://schemas.openxmlformats.org/spreadsheetml/2006/main" count="321" uniqueCount="278">
  <si>
    <t>Vehicle Type</t>
  </si>
  <si>
    <t xml:space="preserve">Passenger Car </t>
  </si>
  <si>
    <t xml:space="preserve">Light-Duty Truck </t>
  </si>
  <si>
    <t>Motorcycle</t>
  </si>
  <si>
    <t>Intercity Rail - NE Corridor (Boston - DC)</t>
  </si>
  <si>
    <t>Intercity Rail - Other Routes</t>
  </si>
  <si>
    <t>Intercity Rail - Nat. Avg</t>
  </si>
  <si>
    <t>Commuter Rail (City - Suburb)</t>
  </si>
  <si>
    <t xml:space="preserve">Transit Rail (Inner-city: Subway, Tram) </t>
  </si>
  <si>
    <t>Bus</t>
  </si>
  <si>
    <t>Air Travel - Short Haul (&lt; 300 miles)</t>
  </si>
  <si>
    <t>Air Travel - Medium Haul (&gt;= 300 miles, &lt; 2300 miles)</t>
  </si>
  <si>
    <t>Air Travel - Long Haul (&gt;= 2300 miles)</t>
  </si>
  <si>
    <t>GHG/Mile</t>
  </si>
  <si>
    <t>Trip 1</t>
  </si>
  <si>
    <t>Trip 2</t>
  </si>
  <si>
    <t>Trip 3</t>
  </si>
  <si>
    <t>Trip 4</t>
  </si>
  <si>
    <t>Trip 5</t>
  </si>
  <si>
    <t>Trip 6</t>
  </si>
  <si>
    <t>Trip 7</t>
  </si>
  <si>
    <t>Trip 8</t>
  </si>
  <si>
    <t>Trip 9</t>
  </si>
  <si>
    <t>Trip 10</t>
  </si>
  <si>
    <t>Total Miles</t>
  </si>
  <si>
    <t>Total GHG</t>
  </si>
  <si>
    <t>Column1</t>
  </si>
  <si>
    <t>Column2</t>
  </si>
  <si>
    <t>Column3</t>
  </si>
  <si>
    <t>Column4</t>
  </si>
  <si>
    <t>Column5</t>
  </si>
  <si>
    <t>Column6</t>
  </si>
  <si>
    <t>Column7</t>
  </si>
  <si>
    <t>Column8</t>
  </si>
  <si>
    <t>Column9</t>
  </si>
  <si>
    <t>Total for Trips</t>
  </si>
  <si>
    <t>Assumptions and Notes</t>
  </si>
  <si>
    <t>Calories/100 Grams</t>
  </si>
  <si>
    <t>Beef</t>
  </si>
  <si>
    <t>CO2E/KG (UN)</t>
  </si>
  <si>
    <t>CO2E/KG (P&amp;N)</t>
  </si>
  <si>
    <t>Pig</t>
  </si>
  <si>
    <t>Poultry</t>
  </si>
  <si>
    <t>Sheep</t>
  </si>
  <si>
    <t>Fish</t>
  </si>
  <si>
    <t>Nutritionix</t>
  </si>
  <si>
    <t>Day 1</t>
  </si>
  <si>
    <t>Day 2</t>
  </si>
  <si>
    <t>Day 3</t>
  </si>
  <si>
    <t>Day 4</t>
  </si>
  <si>
    <t>Day 5</t>
  </si>
  <si>
    <t>Day 6</t>
  </si>
  <si>
    <t>Day 7</t>
  </si>
  <si>
    <t>Total in Kg</t>
  </si>
  <si>
    <t>Reference</t>
  </si>
  <si>
    <t>Prawns = Shrimp</t>
  </si>
  <si>
    <t>Weekly Estimate</t>
  </si>
  <si>
    <t>Step 2: Adjust the values.  Assume each 1 is equivalent to 1/4 pound (equivalent to one McDonald's quarter pound patty in size).  If you eat 1/8 pound, revise 0.5.  If you eat 1/2 pound revise to 2.</t>
  </si>
  <si>
    <t>Totals</t>
  </si>
  <si>
    <t>Daily Calories</t>
  </si>
  <si>
    <t>Annual GHG (UN)</t>
  </si>
  <si>
    <t>Annual GHG-P&amp;N</t>
  </si>
  <si>
    <t>Statistic</t>
  </si>
  <si>
    <t>Daily Kilograms</t>
  </si>
  <si>
    <t>Annual KG</t>
  </si>
  <si>
    <t>Total Meat</t>
  </si>
  <si>
    <t>Total Diet</t>
  </si>
  <si>
    <t>Interpretation</t>
  </si>
  <si>
    <t>Calories per day</t>
  </si>
  <si>
    <t>Directions</t>
  </si>
  <si>
    <t>Only enter or modify data into the Pink areas.  Totals will caclulate based on your input in Pink areas.</t>
  </si>
  <si>
    <t>Your results for each section is listed on the bottom of each page, and on the Totals page.</t>
  </si>
  <si>
    <t>Calculating Greenhouse Gases for Diet</t>
  </si>
  <si>
    <t>Assumptions</t>
  </si>
  <si>
    <t>Protein can also be obtained from lentils, tofu, beans, nuts.</t>
  </si>
  <si>
    <t>Fish (farmed)</t>
  </si>
  <si>
    <t>Prawns-Shrimp (farmed)</t>
  </si>
  <si>
    <t>Enter data only into the Pink slots</t>
  </si>
  <si>
    <t xml:space="preserve">Step 1:  Complete Total Miles Travelled in pink areas of table below (Roundtrip, if appropriate). </t>
  </si>
  <si>
    <t>Note:  You may enter different rows in the same trip, if (for example) you took a plane and a train.  If you took a short airline trip 250 miles there and back, enter 500 miles under Short Haul Air Travel.</t>
  </si>
  <si>
    <t>Note:  For Passenger Car, Truck or Motorcycle, this includes total vehicle miles.  If 4 people were in the car, you may divide the distance by 4 to learn your share of the greenhouse gases.</t>
  </si>
  <si>
    <t>References</t>
  </si>
  <si>
    <t>Poore, J., &amp; Nemecek, T. (2018). Reducing food’s environmental impacts through producers and consumers. Science, 360(6392), 987-992.</t>
  </si>
  <si>
    <t>Poore &amp; Nemecek</t>
  </si>
  <si>
    <t>Step 1: Estimate how many times a day and per week you eat each of the meats below.  Enter a 1 for each daily meal you have that includes that meat.</t>
  </si>
  <si>
    <t>Sheep, Lamb</t>
  </si>
  <si>
    <t>Water (Liters)</t>
  </si>
  <si>
    <t>Land Use (m^2)</t>
  </si>
  <si>
    <t>Eutrophication (g)</t>
  </si>
  <si>
    <t>Annual Water Use (L)</t>
  </si>
  <si>
    <t>Annual Land Use (m^2)</t>
  </si>
  <si>
    <t xml:space="preserve">To find foods with lower impact than meats, see https://ourworldindata.org/explorers/food-footprints. </t>
  </si>
  <si>
    <t>https://ourworldindata.org/explorers/food-footprints</t>
  </si>
  <si>
    <t>E.g., Women may eat 2000 calories/day.</t>
  </si>
  <si>
    <t>Informational: Table of Values used in total calculations</t>
  </si>
  <si>
    <t>A slice is considered as 28 grams</t>
  </si>
  <si>
    <t>Cheese</t>
  </si>
  <si>
    <t>Step 3:  Do you eat cheese (dairy)?  Estimate your best daily estimate as slices per day.</t>
  </si>
  <si>
    <t>Added cheese</t>
  </si>
  <si>
    <t>Total Meat &amp; Cheese</t>
  </si>
  <si>
    <t>Rate of GHG for non-animal foods/calorie</t>
  </si>
  <si>
    <t>Calculating Greenhouse Gases for Utilities: Electric and Heating</t>
  </si>
  <si>
    <t>Enter data only into the Pink slots.</t>
  </si>
  <si>
    <t>Your utility provider may also be able to show you data for how your home compares with neighboring homes.  Remember: you can do as well as the best of your neighbors, if you try.</t>
  </si>
  <si>
    <t>Month 1</t>
  </si>
  <si>
    <t>Month 2</t>
  </si>
  <si>
    <t>Electricity</t>
  </si>
  <si>
    <t xml:space="preserve">Measured in: </t>
  </si>
  <si>
    <t>KWH</t>
  </si>
  <si>
    <t>Therms</t>
  </si>
  <si>
    <t>(Natural) Gas</t>
  </si>
  <si>
    <t>Month 3</t>
  </si>
  <si>
    <t>Month 4</t>
  </si>
  <si>
    <t>Month 5</t>
  </si>
  <si>
    <t>Month 6</t>
  </si>
  <si>
    <t>Month 7</t>
  </si>
  <si>
    <t>Month 8</t>
  </si>
  <si>
    <t>Month 9</t>
  </si>
  <si>
    <t>Month 10</t>
  </si>
  <si>
    <t>Month 11</t>
  </si>
  <si>
    <t>Month 12</t>
  </si>
  <si>
    <t>Average</t>
  </si>
  <si>
    <t>Temperature</t>
  </si>
  <si>
    <t>Total annual usage</t>
  </si>
  <si>
    <t>Total greenhouse gases</t>
  </si>
  <si>
    <t>MMBtu</t>
  </si>
  <si>
    <t>Note: MMBtu is Million British Thermal Unit.</t>
  </si>
  <si>
    <t xml:space="preserve">The best way to get your utility numbers is to fetch the data online from your utility providers.  They should have your uses for the last year.  You may need to create an account with them online.  </t>
  </si>
  <si>
    <t>You can also use data from paper or email bills, if you cannot access the data online.</t>
  </si>
  <si>
    <t>Cost</t>
  </si>
  <si>
    <t>Average annual usage</t>
  </si>
  <si>
    <t>Heating</t>
  </si>
  <si>
    <t>Fuel Cost</t>
  </si>
  <si>
    <t>Step 3  Optional: Record average temperature and costs too, to compare utility use against average temperature and costs year by year.</t>
  </si>
  <si>
    <t>Heating Oil</t>
  </si>
  <si>
    <t>Propane</t>
  </si>
  <si>
    <t>Gallons</t>
  </si>
  <si>
    <t>Step 2:  Record any gas or oil purchases under the most appropriate column.  Copy total units (for example, Gallons or Therms) used by your utility.  Do not copy avg use or cost.</t>
  </si>
  <si>
    <t xml:space="preserve">Step 4 Optional: You may correct the efficiency of the electricity produced by your provider, by accessing the website below.  </t>
  </si>
  <si>
    <t xml:space="preserve">https://www.epa.gov/energy/greenhouse-gas-equivalencies-calculator. </t>
  </si>
  <si>
    <t>(Natural) Gas2</t>
  </si>
  <si>
    <t>Electricity2</t>
  </si>
  <si>
    <t>Step 1:  Fetch your electricity bills for the last year, and record the Killo Watt Hours (KWH) for electricity usage.</t>
  </si>
  <si>
    <t>Greenhouse Gas Per Unit</t>
  </si>
  <si>
    <t>Enter your zipcode and 1 for KWH to get your specific rate.  Then you can adjust the Greenhouse Gas Per Unit (in pink) in the table above.</t>
  </si>
  <si>
    <t>Propane2</t>
  </si>
  <si>
    <t>Heating Oil2</t>
  </si>
  <si>
    <t>Unused</t>
  </si>
  <si>
    <t>Unused2</t>
  </si>
  <si>
    <t>Gerber PJ, Steinfeld H, Henderson B et al. (2013) Tackling Climate Change through Livestock. Food and Agriculture Organization of the United Nations (FAO), Rome.</t>
  </si>
  <si>
    <r>
      <t>EPA (202</t>
    </r>
    <r>
      <rPr>
        <u/>
        <sz val="11"/>
        <color theme="1"/>
        <rFont val="Aptos Narrow"/>
        <family val="2"/>
        <scheme val="minor"/>
      </rPr>
      <t xml:space="preserve">4) Emission Factors for Greenhouse Gas Inventories, June 5 2024. Environmental Protection Agency. From: </t>
    </r>
    <r>
      <rPr>
        <sz val="11"/>
        <color theme="1"/>
        <rFont val="Aptos Narrow"/>
        <family val="2"/>
        <scheme val="minor"/>
      </rPr>
      <t>https://www.epa.gov/system/files/documents/2024-02/ghg-emission-factors-hub-2024.pdf</t>
    </r>
  </si>
  <si>
    <r>
      <t>EPA (202</t>
    </r>
    <r>
      <rPr>
        <u/>
        <sz val="11"/>
        <color theme="1"/>
        <rFont val="Aptos Narrow"/>
        <family val="2"/>
        <scheme val="minor"/>
      </rPr>
      <t xml:space="preserve">4) Emission Factors for Greenhouse Gas Inventories, June 5 2024. Environmental Protection Agency. From: </t>
    </r>
    <r>
      <rPr>
        <sz val="11"/>
        <color theme="1"/>
        <rFont val="Aptos Narrow"/>
        <family val="2"/>
        <scheme val="minor"/>
      </rPr>
      <t xml:space="preserve">https://www.epa.gov/system/files/documents/2024-02/ghg-emission-factors-hub-2024.pdf. </t>
    </r>
  </si>
  <si>
    <t>Gerber et al.</t>
  </si>
  <si>
    <t>Total Mileage on Car</t>
  </si>
  <si>
    <t xml:space="preserve">Starting Mileage </t>
  </si>
  <si>
    <t>Number of Years Car Owned</t>
  </si>
  <si>
    <t>Average mileage for years owned</t>
  </si>
  <si>
    <t>Gasoline</t>
  </si>
  <si>
    <t>Diesel</t>
  </si>
  <si>
    <t>Electric</t>
  </si>
  <si>
    <t>Car 1</t>
  </si>
  <si>
    <t>Miles Per Gallon</t>
  </si>
  <si>
    <t>Greenhouse Gas (KG)/Gallon</t>
  </si>
  <si>
    <t>Average greenhouse gases per year</t>
  </si>
  <si>
    <t>Caclulating Greenhouse Gases for Automobile Vehicle</t>
  </si>
  <si>
    <t>Step 2: Access Miles Per Gallon for your vehicle at:</t>
  </si>
  <si>
    <t xml:space="preserve">Step 4:  If you *know* you eat more or less than a typical person, you may adjust the calories here.  </t>
  </si>
  <si>
    <t>Family Total</t>
  </si>
  <si>
    <t>Personal Total</t>
  </si>
  <si>
    <t>Offsets</t>
  </si>
  <si>
    <t>Total Greenhouse Gas Totals</t>
  </si>
  <si>
    <t>Once completed, you may save the file under your name and year on your system.</t>
  </si>
  <si>
    <t>Follow directions on each folder tab: Utilities, Vehicle, Travel, Diet.</t>
  </si>
  <si>
    <t xml:space="preserve">     If using Liters: Complete column to the right.  It will sum your Liters and convert to Gallons.  Then put your Gallon total into the appropriate fuel type.  Your gallon total will then use the appropriate greenhouse gas rate to sum your total greenhouse gases.</t>
  </si>
  <si>
    <t>Total Gallons</t>
  </si>
  <si>
    <t>Now place gallon total in a pink column in the table to the left.</t>
  </si>
  <si>
    <t>Table for Miles and Gallons</t>
  </si>
  <si>
    <t>Multiplier</t>
  </si>
  <si>
    <t>Step 2: If you do multiple trips to the same location, list that trip as Trip 1 or Trip 2.  Then list the number of times you took that trip in the Multiplier field, and that trip will be multiplied.</t>
  </si>
  <si>
    <t>Note: If a trip is part of your car's regular gas mileage, it will be included under Vehicle.</t>
  </si>
  <si>
    <t>Caclulating Greenhouse Gases for Trips (Not Your Vehicle)</t>
  </si>
  <si>
    <t>Person Name</t>
  </si>
  <si>
    <t>Percentage Eaten</t>
  </si>
  <si>
    <t>Total Non-animal product GHG</t>
  </si>
  <si>
    <t>Step 6 Optional: To get a Family Total, assume Your Totals is 100% for one family member.  Specify each family member in this table.  For children you can specify a fraction (e.g., for 50% specify 0.5).  You will get a family total (no assumed waste).</t>
  </si>
  <si>
    <t>Welcome to the Calculate Personal Greenhouse Gas Excel Spreadsheet</t>
  </si>
  <si>
    <t>Note: Blue table areas have equations in them that must not be modified for the spreadsheet to work properly.</t>
  </si>
  <si>
    <t xml:space="preserve">https://www.fueleconomy.gov/feg/findacar.shtml </t>
  </si>
  <si>
    <t>Reference:</t>
  </si>
  <si>
    <t xml:space="preserve">https://www.epa.gov/greenvehicles/greenhouse-gas-emissions-typical-passenger-vehicle </t>
  </si>
  <si>
    <t>Total Gallons used in average year</t>
  </si>
  <si>
    <t>Total Mileage on Car (in Km)</t>
  </si>
  <si>
    <t>Starting Mileage (in Km)</t>
  </si>
  <si>
    <t>Total Kilometers You Drove</t>
  </si>
  <si>
    <t>Average kilometers for years owned</t>
  </si>
  <si>
    <t>Table for Kilometers</t>
  </si>
  <si>
    <t>Note: This automatically converts from km to miles in the Total Gallons used in average year line.</t>
  </si>
  <si>
    <t>Total Electricity</t>
  </si>
  <si>
    <t>Greenhouse Gases</t>
  </si>
  <si>
    <t>Total Heating</t>
  </si>
  <si>
    <t>Total Vehicle</t>
  </si>
  <si>
    <t>Total Travel</t>
  </si>
  <si>
    <t>Step 1: Enter number of people in family:</t>
  </si>
  <si>
    <t>Notes</t>
  </si>
  <si>
    <t>Shared per household</t>
  </si>
  <si>
    <t>Assumed individual</t>
  </si>
  <si>
    <t>Greenhouse gases per year:</t>
  </si>
  <si>
    <t>Total:</t>
  </si>
  <si>
    <t>More calculations for Totals Page</t>
  </si>
  <si>
    <t>Gardening</t>
  </si>
  <si>
    <t>Credits</t>
  </si>
  <si>
    <t>Total Credits</t>
  </si>
  <si>
    <t>If you have solar panels or purchase renewable electricity</t>
  </si>
  <si>
    <t>If you purchase credits</t>
  </si>
  <si>
    <t>Assumes 1</t>
  </si>
  <si>
    <t>Step 2:  Enter in values of carbon offsets: e.g., trees</t>
  </si>
  <si>
    <t>Calculate tree offsets, e.g., www.carboncalculator.ncsu.edu/Trees.aspx.</t>
  </si>
  <si>
    <t>Enter offsets below</t>
  </si>
  <si>
    <t>Enter Family Members</t>
  </si>
  <si>
    <t>Step 1: Complete the directions per vehicle owned according to the car type: gas, diesel (petrol).</t>
  </si>
  <si>
    <t>Note: Electric vehicles are difficult to calculate here.  Hopefully most comes under home electricity.</t>
  </si>
  <si>
    <t>Does not include waste; Family differentiated in Diet Page</t>
  </si>
  <si>
    <t>If you know Kilometers per Liter, enter it here:</t>
  </si>
  <si>
    <t>Miles Per Gallon:</t>
  </si>
  <si>
    <t>Gallons are U.S. Gallons (not UK)</t>
  </si>
  <si>
    <t>Liter to U.S. Gallon Conversion</t>
  </si>
  <si>
    <t>Total Greenhouse Gases (KG)</t>
  </si>
  <si>
    <t>Adjusted Greenhouse Gases (KG)</t>
  </si>
  <si>
    <t>Total Greenhouse Gases (Metric Tons)</t>
  </si>
  <si>
    <t>Adjusted Greenhouse Gases (Metric Tons)</t>
  </si>
  <si>
    <t>The current value in pink is a national U.S. average.</t>
  </si>
  <si>
    <t>Total Mileage You Drove</t>
  </si>
  <si>
    <t>City</t>
  </si>
  <si>
    <t>Highway</t>
  </si>
  <si>
    <t>%</t>
  </si>
  <si>
    <t>MPG</t>
  </si>
  <si>
    <t>Total MPG</t>
  </si>
  <si>
    <t>Note</t>
  </si>
  <si>
    <t>Specifiy as fraction</t>
  </si>
  <si>
    <t>Average greenhouse gas per mile</t>
  </si>
  <si>
    <t>Average greenhouse gases per mile</t>
  </si>
  <si>
    <t>Step 3: You may correct the GHG/Mile for your passenger car by obtaining that information from the Vehicle page table bottom row.</t>
  </si>
  <si>
    <t>But remember that those greenhouse gases will be calculated as part of your regular vehicle's mileage on the Vehicle page.</t>
  </si>
  <si>
    <t>Lincke &amp; Wolf (2023) Dietary modeling of greenhouse gases using OECD meat consumption/retail availability estimates. Int. J. Food Eng. 2023; 19(1–2): 37–48.</t>
  </si>
  <si>
    <t>Calculated from 1037.3 avg GHG/2500 cal. for vegan (Lincke and Wolf, 2023)</t>
  </si>
  <si>
    <t>UN FAO: 2.4 CO2E/KG Fat-and-protein-corrected milk.  Cheese generally requires 10 kg milk per kg cheese.</t>
  </si>
  <si>
    <t>Pierre Gerber, Theun Vellinga, Carolyn Opio, Benjamin Henderson and Henning
Steinfeld. (2010) Greenhouse Gas Emissions from the Dairy Sector A Life Cycle Assessment, Food and Agriculture Organization of the United Nations.</t>
  </si>
  <si>
    <t>UN: Average of 2.9 and 3.8 KG CO2E/KG live weight</t>
  </si>
  <si>
    <t>UN FAO: From Fig. 8</t>
  </si>
  <si>
    <t xml:space="preserve">MacLeod, M., Hasan, M.R., Robb, D.H.F. &amp; Mamun-Ur-Rashid, M. (2019). Quantifying and mitigating greenhouse gas emissions from global aquaculture. FAO Fisheries and Aquaculture Technical Paper No. 626. Rome, FAO. </t>
  </si>
  <si>
    <t>Daily slices of cheese (equivalent)</t>
  </si>
  <si>
    <t>YOUR TOTALS: Assumes 1 person eating at 100%</t>
  </si>
  <si>
    <t>When Gallons are used, we assume U.S. Gallons (not UK Imperial Gallons)</t>
  </si>
  <si>
    <t>All results assume 100-year Global Warming Potential</t>
  </si>
  <si>
    <r>
      <rPr>
        <b/>
        <sz val="12"/>
        <color theme="1"/>
        <rFont val="Aptos Narrow"/>
        <family val="2"/>
        <scheme val="minor"/>
      </rPr>
      <t>Step 5</t>
    </r>
    <r>
      <rPr>
        <sz val="12"/>
        <color theme="1"/>
        <rFont val="Aptos Narrow"/>
        <family val="2"/>
        <scheme val="minor"/>
      </rPr>
      <t xml:space="preserve">: See </t>
    </r>
    <r>
      <rPr>
        <b/>
        <sz val="12"/>
        <color theme="1"/>
        <rFont val="Aptos Narrow"/>
        <family val="2"/>
        <scheme val="minor"/>
      </rPr>
      <t>YOUR TOTALS</t>
    </r>
    <r>
      <rPr>
        <sz val="12"/>
        <color theme="1"/>
        <rFont val="Aptos Narrow"/>
        <family val="2"/>
        <scheme val="minor"/>
      </rPr>
      <t xml:space="preserve"> below.</t>
    </r>
  </si>
  <si>
    <t>Results shown are in Kilograms (KG) greenhouse gases.  1 metric ton = 1000 KG.</t>
  </si>
  <si>
    <t>Waste:  Food thrown away averages 30% of all food.  This happens at your home and at stores as food dates expire.</t>
  </si>
  <si>
    <t>Name 1</t>
  </si>
  <si>
    <t>Name 2</t>
  </si>
  <si>
    <t>Name 3</t>
  </si>
  <si>
    <t>Name 4</t>
  </si>
  <si>
    <t>Name 5</t>
  </si>
  <si>
    <t>Name 6</t>
  </si>
  <si>
    <t>Name 7</t>
  </si>
  <si>
    <t>Name 8</t>
  </si>
  <si>
    <t>Annual Eutrophication (Kg)</t>
  </si>
  <si>
    <t>Total Diet GHG (Kg)</t>
  </si>
  <si>
    <t>Total Diet with Waste (Kg)</t>
  </si>
  <si>
    <t>Total Family Multiplier</t>
  </si>
  <si>
    <t>Here are your Family results</t>
  </si>
  <si>
    <t>Total Description</t>
  </si>
  <si>
    <t>Assumptions:</t>
  </si>
  <si>
    <t>Greenhouse gases do not include personal product purchases other than food and travel fuel.</t>
  </si>
  <si>
    <t>Diet is taken using Poore &amp; Nemecek (2018) results, not including waste.  Otherwise this would be 30% higher.</t>
  </si>
  <si>
    <t>Family Totals (KG) Without Waste</t>
  </si>
  <si>
    <t>If some family members are vegetarian or vegan and others eat meat, the family calculation must be done individually.</t>
  </si>
  <si>
    <t>Fish and Prawns/Shrimp are assumed farmed for both UN FAO and Poore &amp; Nemecek results.</t>
  </si>
  <si>
    <t>Annual land use, water use and eutrophication are from meat and dairy consumption only.  Vegetable/fruits/grains are considerably lower, but additional work will need to be done to come up with accurate estimates. Source: Our World in Data, (Poore &amp; Nemecek,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</si>
</sst>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ptos Narrow"/>
      <family val="2"/>
      <scheme val="minor"/>
    </font>
    <font>
      <b/>
      <sz val="11"/>
      <color theme="0"/>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b/>
      <sz val="16"/>
      <color theme="1"/>
      <name val="Aptos Narrow"/>
      <family val="2"/>
      <scheme val="minor"/>
    </font>
    <font>
      <b/>
      <sz val="18"/>
      <color theme="1"/>
      <name val="Aptos Narrow"/>
      <family val="2"/>
      <scheme val="minor"/>
    </font>
    <font>
      <b/>
      <sz val="20"/>
      <color theme="1"/>
      <name val="Aptos Narrow"/>
      <family val="2"/>
      <scheme val="minor"/>
    </font>
    <font>
      <b/>
      <sz val="11"/>
      <color theme="4" tint="-0.499984740745262"/>
      <name val="Aptos Narrow"/>
      <family val="2"/>
      <scheme val="minor"/>
    </font>
    <font>
      <u/>
      <sz val="11"/>
      <color theme="10"/>
      <name val="Aptos Narrow"/>
      <family val="2"/>
      <scheme val="minor"/>
    </font>
    <font>
      <u/>
      <sz val="11"/>
      <color theme="1"/>
      <name val="Aptos Narrow"/>
      <family val="2"/>
      <scheme val="minor"/>
    </font>
    <font>
      <sz val="14"/>
      <color theme="1"/>
      <name val="Aptos Narrow"/>
      <family val="2"/>
      <scheme val="minor"/>
    </font>
    <font>
      <sz val="16"/>
      <color theme="1"/>
      <name val="Aptos Narrow"/>
      <family val="2"/>
      <scheme val="minor"/>
    </font>
    <font>
      <b/>
      <sz val="26"/>
      <color theme="1"/>
      <name val="Aptos Narrow"/>
      <family val="2"/>
      <scheme val="minor"/>
    </font>
    <font>
      <sz val="12"/>
      <color theme="1"/>
      <name val="Aptos Narrow"/>
      <family val="2"/>
      <scheme val="minor"/>
    </font>
    <font>
      <sz val="8"/>
      <name val="Aptos Narrow"/>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7" tint="-0.49998474074526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89999084444715716"/>
        <bgColor indexed="64"/>
      </patternFill>
    </fill>
    <fill>
      <patternFill patternType="solid">
        <fgColor theme="3" tint="0.749992370372631"/>
        <bgColor indexed="64"/>
      </patternFill>
    </fill>
    <fill>
      <patternFill patternType="solid">
        <fgColor theme="0"/>
        <bgColor indexed="64"/>
      </patternFill>
    </fill>
  </fills>
  <borders count="15">
    <border>
      <left/>
      <right/>
      <top/>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style="thin">
        <color theme="4" tint="0.39997558519241921"/>
      </right>
      <top style="thin">
        <color theme="4" tint="0.39997558519241921"/>
      </top>
      <bottom/>
      <diagonal/>
    </border>
    <border>
      <left/>
      <right/>
      <top style="thin">
        <color theme="4" tint="0.39997558519241921"/>
      </top>
      <bottom/>
      <diagonal/>
    </border>
    <border>
      <left/>
      <right/>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bottom style="thin">
        <color theme="0"/>
      </bottom>
      <diagonal/>
    </border>
    <border>
      <left/>
      <right style="thin">
        <color theme="0" tint="-0.14999847407452621"/>
      </right>
      <top/>
      <bottom/>
      <diagonal/>
    </border>
    <border>
      <left/>
      <right style="thin">
        <color theme="0" tint="-0.14999847407452621"/>
      </right>
      <top style="thin">
        <color theme="0" tint="-0.14999847407452621"/>
      </top>
      <bottom style="thin">
        <color theme="0"/>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bottom>
      <diagonal/>
    </border>
    <border>
      <left/>
      <right style="thin">
        <color theme="0" tint="-0.14999847407452621"/>
      </right>
      <top/>
      <bottom style="thin">
        <color theme="0"/>
      </bottom>
      <diagonal/>
    </border>
  </borders>
  <cellStyleXfs count="2">
    <xf numFmtId="0" fontId="0" fillId="0" borderId="0"/>
    <xf numFmtId="0" fontId="9" fillId="0" borderId="0" applyNumberFormat="0" applyFill="0" applyBorder="0" applyAlignment="0" applyProtection="0"/>
  </cellStyleXfs>
  <cellXfs count="47">
    <xf numFmtId="0" fontId="0" fillId="0" borderId="0" xfId="0"/>
    <xf numFmtId="0" fontId="2" fillId="0" borderId="0" xfId="0" applyFont="1"/>
    <xf numFmtId="0" fontId="0" fillId="2" borderId="0" xfId="0" applyFill="1"/>
    <xf numFmtId="0" fontId="1" fillId="3" borderId="0" xfId="0" applyFont="1" applyFill="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1" fillId="0" borderId="2" xfId="0" applyFont="1" applyBorder="1"/>
    <xf numFmtId="0" fontId="0" fillId="0" borderId="2" xfId="0" applyBorder="1"/>
    <xf numFmtId="0" fontId="0" fillId="0" borderId="6" xfId="0" applyBorder="1"/>
    <xf numFmtId="0" fontId="0" fillId="0" borderId="1" xfId="0" applyBorder="1"/>
    <xf numFmtId="0" fontId="0" fillId="0" borderId="5" xfId="0" applyBorder="1"/>
    <xf numFmtId="0" fontId="0" fillId="0" borderId="3" xfId="0" applyBorder="1"/>
    <xf numFmtId="0" fontId="0" fillId="0" borderId="4" xfId="0" applyBorder="1"/>
    <xf numFmtId="0" fontId="8" fillId="0" borderId="1" xfId="0" applyFont="1" applyBorder="1"/>
    <xf numFmtId="0" fontId="8" fillId="0" borderId="3" xfId="0" applyFont="1" applyBorder="1"/>
    <xf numFmtId="164" fontId="0" fillId="0" borderId="0" xfId="0" applyNumberFormat="1"/>
    <xf numFmtId="2" fontId="0" fillId="0" borderId="0" xfId="0" applyNumberFormat="1"/>
    <xf numFmtId="0" fontId="9" fillId="0" borderId="0" xfId="1"/>
    <xf numFmtId="0" fontId="0" fillId="0" borderId="0" xfId="0" applyAlignment="1">
      <alignment horizontal="center"/>
    </xf>
    <xf numFmtId="0" fontId="0" fillId="4" borderId="0" xfId="0" applyFill="1"/>
    <xf numFmtId="0" fontId="11" fillId="0" borderId="0" xfId="0" applyFont="1"/>
    <xf numFmtId="0" fontId="12" fillId="0" borderId="0" xfId="0" applyFont="1"/>
    <xf numFmtId="0" fontId="0" fillId="2" borderId="7" xfId="0" applyFill="1" applyBorder="1"/>
    <xf numFmtId="0" fontId="2" fillId="5" borderId="0" xfId="0" applyFont="1" applyFill="1"/>
    <xf numFmtId="0" fontId="13" fillId="0" borderId="0" xfId="0" applyFont="1"/>
    <xf numFmtId="3" fontId="0" fillId="2" borderId="0" xfId="0" applyNumberFormat="1" applyFill="1"/>
    <xf numFmtId="0" fontId="0" fillId="6" borderId="7" xfId="0" applyFill="1" applyBorder="1"/>
    <xf numFmtId="0" fontId="0" fillId="5" borderId="0" xfId="0" applyFill="1"/>
    <xf numFmtId="0" fontId="0" fillId="7" borderId="0" xfId="0" applyFill="1"/>
    <xf numFmtId="0" fontId="11" fillId="2" borderId="0" xfId="0" applyFont="1" applyFill="1"/>
    <xf numFmtId="0" fontId="14" fillId="0" borderId="0" xfId="0" applyFont="1"/>
    <xf numFmtId="0" fontId="0" fillId="0" borderId="0" xfId="0" applyAlignment="1">
      <alignment vertical="top"/>
    </xf>
    <xf numFmtId="164" fontId="2" fillId="0" borderId="0" xfId="0" applyNumberFormat="1" applyFont="1"/>
    <xf numFmtId="2" fontId="2" fillId="0" borderId="0" xfId="0" applyNumberFormat="1" applyFont="1"/>
    <xf numFmtId="0" fontId="2" fillId="4" borderId="8" xfId="0" applyFont="1" applyFill="1" applyBorder="1" applyAlignment="1">
      <alignment vertical="top"/>
    </xf>
    <xf numFmtId="0" fontId="2" fillId="5" borderId="8" xfId="0" applyFont="1" applyFill="1" applyBorder="1" applyAlignment="1">
      <alignment vertical="top"/>
    </xf>
    <xf numFmtId="164" fontId="2" fillId="5" borderId="8" xfId="0" applyNumberFormat="1" applyFont="1" applyFill="1" applyBorder="1" applyAlignment="1">
      <alignment vertical="top"/>
    </xf>
    <xf numFmtId="0" fontId="0" fillId="0" borderId="9" xfId="0" applyBorder="1"/>
    <xf numFmtId="0" fontId="0" fillId="0" borderId="10" xfId="0" applyBorder="1"/>
    <xf numFmtId="0" fontId="0" fillId="8" borderId="11" xfId="0" applyFill="1" applyBorder="1"/>
    <xf numFmtId="0" fontId="0" fillId="8" borderId="12" xfId="0" applyFill="1" applyBorder="1"/>
    <xf numFmtId="0" fontId="0" fillId="8" borderId="13" xfId="0" applyFill="1" applyBorder="1"/>
    <xf numFmtId="0" fontId="0" fillId="8" borderId="14" xfId="0" applyFill="1" applyBorder="1"/>
    <xf numFmtId="0" fontId="2" fillId="8" borderId="14" xfId="0" applyFont="1" applyFill="1" applyBorder="1"/>
  </cellXfs>
  <cellStyles count="2">
    <cellStyle name="Hyperlink" xfId="1" builtinId="8"/>
    <cellStyle name="Normal" xfId="0" builtinId="0"/>
  </cellStyles>
  <dxfs count="45">
    <dxf>
      <font>
        <strike val="0"/>
        <outline val="0"/>
        <shadow val="0"/>
        <u val="none"/>
        <vertAlign val="baseline"/>
        <sz val="14"/>
        <color theme="1"/>
        <name val="Aptos Narrow"/>
        <family val="2"/>
        <scheme val="minor"/>
      </font>
    </dxf>
    <dxf>
      <font>
        <strike val="0"/>
        <outline val="0"/>
        <shadow val="0"/>
        <u val="none"/>
        <vertAlign val="baseline"/>
        <sz val="14"/>
        <color theme="1"/>
        <name val="Aptos Narrow"/>
        <family val="2"/>
        <scheme val="minor"/>
      </font>
    </dxf>
    <dxf>
      <font>
        <strike val="0"/>
        <outline val="0"/>
        <shadow val="0"/>
        <u val="none"/>
        <vertAlign val="baseline"/>
        <sz val="14"/>
        <color theme="1"/>
        <name val="Aptos Narrow"/>
        <family val="2"/>
        <scheme val="minor"/>
      </font>
    </dxf>
    <dxf>
      <font>
        <strike val="0"/>
        <outline val="0"/>
        <shadow val="0"/>
        <u val="none"/>
        <vertAlign val="baseline"/>
        <sz val="14"/>
        <color theme="1"/>
        <name val="Aptos Narrow"/>
        <family val="2"/>
        <scheme val="minor"/>
      </font>
    </dxf>
    <dxf>
      <font>
        <strike val="0"/>
        <outline val="0"/>
        <shadow val="0"/>
        <u val="none"/>
        <vertAlign val="baseline"/>
        <sz val="14"/>
        <color theme="1"/>
        <name val="Aptos Narrow"/>
        <family val="2"/>
        <scheme val="minor"/>
      </font>
    </dxf>
    <dxf>
      <font>
        <strike val="0"/>
        <outline val="0"/>
        <shadow val="0"/>
        <u val="none"/>
        <vertAlign val="baseline"/>
        <sz val="14"/>
        <color theme="1"/>
        <name val="Aptos Narrow"/>
        <family val="2"/>
        <scheme val="minor"/>
      </font>
    </dxf>
    <dxf>
      <numFmt numFmtId="0" formatCode="General"/>
    </dxf>
    <dxf>
      <numFmt numFmtId="0" formatCode="General"/>
    </dxf>
    <dxf>
      <fill>
        <patternFill patternType="solid">
          <fgColor indexed="64"/>
          <bgColor theme="8" tint="0.79998168889431442"/>
        </patternFill>
      </fill>
    </dxf>
    <dxf>
      <fill>
        <patternFill patternType="solid">
          <fgColor indexed="64"/>
          <bgColor theme="8" tint="0.79998168889431442"/>
        </patternFill>
      </fill>
    </dxf>
    <dxf>
      <fill>
        <patternFill patternType="solid">
          <fgColor indexed="64"/>
          <bgColor theme="8" tint="0.79998168889431442"/>
        </patternFill>
      </fill>
    </dxf>
    <dxf>
      <fill>
        <patternFill patternType="solid">
          <fgColor indexed="64"/>
          <bgColor theme="8" tint="0.79998168889431442"/>
        </patternFill>
      </fill>
    </dxf>
    <dxf>
      <fill>
        <patternFill patternType="solid">
          <fgColor indexed="64"/>
          <bgColor theme="8" tint="0.79998168889431442"/>
        </patternFill>
      </fill>
    </dxf>
    <dxf>
      <fill>
        <patternFill patternType="solid">
          <fgColor indexed="64"/>
          <bgColor theme="8" tint="0.79998168889431442"/>
        </patternFill>
      </fill>
    </dxf>
    <dxf>
      <fill>
        <patternFill patternType="solid">
          <fgColor indexed="64"/>
          <bgColor theme="8" tint="0.79998168889431442"/>
        </patternFill>
      </fill>
    </dxf>
    <dxf>
      <fill>
        <patternFill patternType="solid">
          <fgColor indexed="64"/>
          <bgColor theme="8" tint="0.79998168889431442"/>
        </patternFill>
      </fill>
    </dxf>
    <dxf>
      <fill>
        <patternFill patternType="solid">
          <fgColor indexed="64"/>
          <bgColor theme="8" tint="0.79998168889431442"/>
        </patternFill>
      </fill>
    </dxf>
    <dxf>
      <fill>
        <patternFill patternType="solid">
          <fgColor indexed="64"/>
          <bgColor theme="8" tint="0.79998168889431442"/>
        </patternFill>
      </fill>
    </dxf>
    <dxf>
      <fill>
        <patternFill patternType="solid">
          <fgColor indexed="64"/>
          <bgColor theme="8" tint="0.79998168889431442"/>
        </patternFill>
      </fill>
    </dxf>
    <dxf>
      <numFmt numFmtId="0" formatCode="General"/>
    </dxf>
    <dxf>
      <numFmt numFmtId="0" formatCode="General"/>
    </dxf>
    <dxf>
      <numFmt numFmtId="0" formatCode="General"/>
    </dxf>
    <dxf>
      <numFmt numFmtId="2" formatCode="0.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font>
        <b/>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border diagonalUp="0" diagonalDown="0" outline="0">
        <left/>
        <right/>
        <top style="thin">
          <color theme="4" tint="0.39997558519241921"/>
        </top>
        <bottom style="thin">
          <color theme="4" tint="0.39997558519241921"/>
        </bottom>
      </border>
    </dxf>
    <dxf>
      <font>
        <b/>
        <i val="0"/>
        <strike val="0"/>
        <condense val="0"/>
        <extend val="0"/>
        <outline val="0"/>
        <shadow val="0"/>
        <u val="none"/>
        <vertAlign val="baseline"/>
        <sz val="11"/>
        <color theme="4" tint="-0.499984740745262"/>
        <name val="Aptos Narrow"/>
        <family val="2"/>
        <scheme val="minor"/>
      </font>
      <fill>
        <patternFill patternType="none">
          <fgColor indexed="64"/>
          <bgColor auto="1"/>
        </patternFill>
      </fill>
      <border diagonalUp="0" diagonalDown="0" outline="0">
        <left/>
        <right/>
        <top style="thin">
          <color theme="4" tint="0.39997558519241921"/>
        </top>
        <bottom style="thin">
          <color theme="4" tint="0.39997558519241921"/>
        </bottom>
      </border>
    </dxf>
    <dxf>
      <border outline="0">
        <top style="thin">
          <color theme="4" tint="0.39997558519241921"/>
        </top>
      </border>
    </dxf>
    <dxf>
      <border outline="0">
        <top style="thin">
          <color theme="4" tint="0.39997558519241921"/>
        </top>
        <bottom style="thin">
          <color theme="4" tint="0.39997558519241921"/>
        </bottom>
      </border>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dxf>
    <dxf>
      <border outline="0">
        <bottom style="thin">
          <color theme="4" tint="0.39997558519241921"/>
        </bottom>
      </border>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border diagonalUp="0" diagonalDown="0" outline="0">
        <left style="thin">
          <color theme="4" tint="0.39997558519241921"/>
        </left>
        <right style="thin">
          <color theme="4" tint="0.39997558519241921"/>
        </right>
        <top/>
        <bottom/>
      </border>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Greenhouse</a:t>
            </a:r>
            <a:r>
              <a:rPr lang="en-US" baseline="0"/>
              <a:t> Gases - Family Total</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Totals!$B$8</c:f>
              <c:strCache>
                <c:ptCount val="1"/>
                <c:pt idx="0">
                  <c:v>Family Total</c:v>
                </c:pt>
              </c:strCache>
            </c:strRef>
          </c:tx>
          <c:spPr>
            <a:solidFill>
              <a:schemeClr val="accent1"/>
            </a:solidFill>
            <a:ln>
              <a:noFill/>
            </a:ln>
            <a:effectLst/>
          </c:spPr>
          <c:invertIfNegative val="0"/>
          <c:cat>
            <c:strRef>
              <c:f>Totals!$A$9:$A$13</c:f>
              <c:strCache>
                <c:ptCount val="5"/>
                <c:pt idx="0">
                  <c:v>Total Electricity</c:v>
                </c:pt>
                <c:pt idx="1">
                  <c:v>Total Heating</c:v>
                </c:pt>
                <c:pt idx="2">
                  <c:v>Total Diet</c:v>
                </c:pt>
                <c:pt idx="3">
                  <c:v>Total Vehicle</c:v>
                </c:pt>
                <c:pt idx="4">
                  <c:v>Total Travel</c:v>
                </c:pt>
              </c:strCache>
            </c:strRef>
          </c:cat>
          <c:val>
            <c:numRef>
              <c:f>Totals!$B$9:$B$13</c:f>
              <c:numCache>
                <c:formatCode>General</c:formatCode>
                <c:ptCount val="5"/>
                <c:pt idx="0">
                  <c:v>0</c:v>
                </c:pt>
                <c:pt idx="1">
                  <c:v>0</c:v>
                </c:pt>
                <c:pt idx="2">
                  <c:v>1037.3</c:v>
                </c:pt>
                <c:pt idx="3">
                  <c:v>0</c:v>
                </c:pt>
                <c:pt idx="4">
                  <c:v>0</c:v>
                </c:pt>
              </c:numCache>
            </c:numRef>
          </c:val>
          <c:extLst>
            <c:ext xmlns:c16="http://schemas.microsoft.com/office/drawing/2014/chart" uri="{C3380CC4-5D6E-409C-BE32-E72D297353CC}">
              <c16:uniqueId val="{00000000-82A7-49D5-856D-06A54731590D}"/>
            </c:ext>
          </c:extLst>
        </c:ser>
        <c:ser>
          <c:idx val="1"/>
          <c:order val="1"/>
          <c:tx>
            <c:strRef>
              <c:f>Totals!$C$8</c:f>
              <c:strCache>
                <c:ptCount val="1"/>
                <c:pt idx="0">
                  <c:v>Personal Total</c:v>
                </c:pt>
              </c:strCache>
            </c:strRef>
          </c:tx>
          <c:spPr>
            <a:solidFill>
              <a:schemeClr val="accent2"/>
            </a:solidFill>
            <a:ln>
              <a:noFill/>
            </a:ln>
            <a:effectLst/>
          </c:spPr>
          <c:invertIfNegative val="0"/>
          <c:cat>
            <c:strRef>
              <c:f>Totals!$A$9:$A$13</c:f>
              <c:strCache>
                <c:ptCount val="5"/>
                <c:pt idx="0">
                  <c:v>Total Electricity</c:v>
                </c:pt>
                <c:pt idx="1">
                  <c:v>Total Heating</c:v>
                </c:pt>
                <c:pt idx="2">
                  <c:v>Total Diet</c:v>
                </c:pt>
                <c:pt idx="3">
                  <c:v>Total Vehicle</c:v>
                </c:pt>
                <c:pt idx="4">
                  <c:v>Total Travel</c:v>
                </c:pt>
              </c:strCache>
            </c:strRef>
          </c:cat>
          <c:val>
            <c:numRef>
              <c:f>Totals!$C$9:$C$13</c:f>
              <c:numCache>
                <c:formatCode>General</c:formatCode>
                <c:ptCount val="5"/>
                <c:pt idx="0">
                  <c:v>0</c:v>
                </c:pt>
                <c:pt idx="1">
                  <c:v>0</c:v>
                </c:pt>
                <c:pt idx="2">
                  <c:v>1037.3</c:v>
                </c:pt>
                <c:pt idx="3">
                  <c:v>0</c:v>
                </c:pt>
                <c:pt idx="4">
                  <c:v>0</c:v>
                </c:pt>
              </c:numCache>
            </c:numRef>
          </c:val>
          <c:extLst>
            <c:ext xmlns:c16="http://schemas.microsoft.com/office/drawing/2014/chart" uri="{C3380CC4-5D6E-409C-BE32-E72D297353CC}">
              <c16:uniqueId val="{00000001-82A7-49D5-856D-06A54731590D}"/>
            </c:ext>
          </c:extLst>
        </c:ser>
        <c:dLbls>
          <c:showLegendKey val="0"/>
          <c:showVal val="0"/>
          <c:showCatName val="0"/>
          <c:showSerName val="0"/>
          <c:showPercent val="0"/>
          <c:showBubbleSize val="0"/>
        </c:dLbls>
        <c:gapWidth val="182"/>
        <c:axId val="1557216944"/>
        <c:axId val="1557217904"/>
      </c:barChart>
      <c:catAx>
        <c:axId val="15572169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7217904"/>
        <c:crosses val="autoZero"/>
        <c:auto val="1"/>
        <c:lblAlgn val="ctr"/>
        <c:lblOffset val="100"/>
        <c:noMultiLvlLbl val="0"/>
      </c:catAx>
      <c:valAx>
        <c:axId val="15572179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7216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68737</xdr:rowOff>
    </xdr:from>
    <xdr:to>
      <xdr:col>3</xdr:col>
      <xdr:colOff>3918015</xdr:colOff>
      <xdr:row>45</xdr:row>
      <xdr:rowOff>186571</xdr:rowOff>
    </xdr:to>
    <xdr:graphicFrame macro="">
      <xdr:nvGraphicFramePr>
        <xdr:cNvPr id="2" name="Chart 1">
          <a:extLst>
            <a:ext uri="{FF2B5EF4-FFF2-40B4-BE49-F238E27FC236}">
              <a16:creationId xmlns:a16="http://schemas.microsoft.com/office/drawing/2014/main" id="{8ECB1D1B-0E69-CB87-975C-1433FF08DB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A2A71DF-3C5D-445D-82ED-F0A1DDA5BFD0}" name="Table13" displayName="Table13" ref="A15:M32" totalsRowShown="0">
  <autoFilter ref="A15:M32" xr:uid="{4A2A71DF-3C5D-445D-82ED-F0A1DDA5BFD0}"/>
  <tableColumns count="13">
    <tableColumn id="1" xr3:uid="{FFEB42D9-7B8A-4C08-B098-5D9D44C74932}" name="Column1"/>
    <tableColumn id="2" xr3:uid="{F88C943E-6F22-47E0-BBA1-C73CE1BB6CD5}" name="Electricity"/>
    <tableColumn id="3" xr3:uid="{50A8378D-0815-4CFE-B904-BA8A487D3A36}" name="(Natural) Gas"/>
    <tableColumn id="4" xr3:uid="{09296DDE-B449-45C7-9E6B-379ABEDCF0A6}" name="(Natural) Gas2"/>
    <tableColumn id="5" xr3:uid="{A66F5B2D-109E-42E5-B8E0-50778167C479}" name="Heating Oil"/>
    <tableColumn id="6" xr3:uid="{89A86287-75CF-4677-9D87-2DCCB28F9247}" name="Heating Oil2"/>
    <tableColumn id="7" xr3:uid="{3940AEAC-FAFE-4C49-BD33-D29AB800CE84}" name="Propane"/>
    <tableColumn id="8" xr3:uid="{6CA9B5CB-7816-4AD0-A64A-DCA7102A478F}" name="Propane2"/>
    <tableColumn id="9" xr3:uid="{606F42C5-2E55-4228-A644-8EE4DBFD2B01}" name="Unused"/>
    <tableColumn id="10" xr3:uid="{13B2D6F9-CF65-440A-A6B4-975F0E7BCE69}" name="Unused2"/>
    <tableColumn id="11" xr3:uid="{36880B30-08A0-429D-8081-C97884D15E5B}" name="Average"/>
    <tableColumn id="12" xr3:uid="{5644C858-301C-4CD7-BA44-F545C8BE41DD}" name="Electricity2"/>
    <tableColumn id="13" xr3:uid="{7BF451BE-9E8F-4BB2-AD14-B412AFBFF9C9}" name="Heating"/>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C2D1265-FDE1-453A-A0EA-41924FBF221E}" name="Table9" displayName="Table9" ref="A8:D22" totalsRowShown="0" headerRowDxfId="5" dataDxfId="4">
  <autoFilter ref="A8:D22" xr:uid="{FC2D1265-FDE1-453A-A0EA-41924FBF221E}"/>
  <tableColumns count="4">
    <tableColumn id="1" xr3:uid="{357A37CF-BB63-49A1-AD15-6F1C615ADF12}" name="Greenhouse Gases" dataDxfId="3"/>
    <tableColumn id="2" xr3:uid="{52F54EC1-AEE0-4E95-A7AF-2F63FC485F2C}" name="Family Total" dataDxfId="2"/>
    <tableColumn id="3" xr3:uid="{6382DF32-AB46-4F99-8536-D8F956112445}" name="Personal Total" dataDxfId="1"/>
    <tableColumn id="4" xr3:uid="{864E518F-BE37-44A7-93C2-4014C285ACE7}" name="Notes" dataDxfId="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1BB3E75-0025-4969-9BD2-3BBC63015877}" name="Table15" displayName="Table15" ref="A16:C26" totalsRowShown="0">
  <autoFilter ref="A16:C26" xr:uid="{51BB3E75-0025-4969-9BD2-3BBC63015877}"/>
  <tableColumns count="3">
    <tableColumn id="1" xr3:uid="{354927BC-C6AC-4B57-8E8D-79C3B14AED3B}" name="Car 1"/>
    <tableColumn id="2" xr3:uid="{00010C19-1926-4859-9DB7-E5C6EDCD917C}" name="Gasoline"/>
    <tableColumn id="3" xr3:uid="{87A9BDE9-715C-44F3-BD08-33D3650A89AA}" name="Diesel"/>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652A208-7124-4E48-A8BC-F7CAF406CDCF}" name="Table157" displayName="Table157" ref="G15:I26" totalsRowShown="0">
  <autoFilter ref="G15:I26" xr:uid="{C652A208-7124-4E48-A8BC-F7CAF406CDCF}"/>
  <tableColumns count="3">
    <tableColumn id="1" xr3:uid="{99217B45-EEEA-4B1C-8C2F-E8ABE711E8B6}" name="Car 1"/>
    <tableColumn id="2" xr3:uid="{4D4A300D-E6FF-4871-B327-636C734CC765}" name="Gasoline"/>
    <tableColumn id="3" xr3:uid="{7E6D8FF6-CA45-4106-9287-BB2E84AAB6A1}" name="Diesel"/>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A1FDFDF-EA12-4600-9FDA-C355F48FFE2C}" name="Table12" displayName="Table12" ref="F9:I12" totalsRowShown="0">
  <autoFilter ref="F9:I12" xr:uid="{EA1FDFDF-EA12-4600-9FDA-C355F48FFE2C}"/>
  <tableColumns count="4">
    <tableColumn id="1" xr3:uid="{6DB5D920-6BFF-4567-98E7-6CB81EF04A48}" name="Column1"/>
    <tableColumn id="2" xr3:uid="{8E00EA6F-E04D-4949-B94E-ABD81659D8A4}" name="City" dataDxfId="44">
      <calculatedColumnFormula array="1">I9No</calculatedColumnFormula>
    </tableColumn>
    <tableColumn id="3" xr3:uid="{2AAF6321-D090-42A1-9717-56356CCFE1AA}" name="Highway"/>
    <tableColumn id="4" xr3:uid="{9B3FA3B1-176A-4AAC-931C-1091C2212352}" name="Note"/>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AC1386F-5A54-4E44-9AB7-73B95DBE99E8}" name="Table7" displayName="Table7" ref="A8:I15" totalsRowShown="0">
  <autoFilter ref="A8:I15" xr:uid="{3AC1386F-5A54-4E44-9AB7-73B95DBE99E8}"/>
  <tableColumns count="9">
    <tableColumn id="1" xr3:uid="{17BC217B-CF3A-47B1-AAB9-274C1E1EB67F}" name="Column1"/>
    <tableColumn id="2" xr3:uid="{C2A68BF1-DC88-435C-B92C-F1E40CFF92BC}" name="Column2"/>
    <tableColumn id="3" xr3:uid="{DB02B5A2-3CE5-4FDF-B957-22F8AEBDDEB9}" name="Column3"/>
    <tableColumn id="4" xr3:uid="{B81E6A0D-899F-4FB7-A2BB-109B15707648}" name="Column4"/>
    <tableColumn id="5" xr3:uid="{CEF922D6-C7DA-40C9-99E1-09B49B60E6B8}" name="Column5"/>
    <tableColumn id="6" xr3:uid="{5A78BAF9-8DE8-4850-A64A-2142A78C1EB6}" name="Column6"/>
    <tableColumn id="7" xr3:uid="{717CEF2B-598A-4DAB-B53B-BD62CC31375F}" name="Column7"/>
    <tableColumn id="8" xr3:uid="{4D97F111-8496-41F9-BFDD-9BFB846DE32F}" name="Column8"/>
    <tableColumn id="9" xr3:uid="{AB503D6B-3035-4299-BDAC-A6B7C3873110}" name="Column9"/>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158F6FE-B7C6-4C6B-A5A0-A7E6DF1148CD}" name="Table10" displayName="Table10" ref="A29:H37" totalsRowShown="0" headerRowDxfId="43" dataDxfId="41" headerRowBorderDxfId="42" tableBorderDxfId="40" totalsRowBorderDxfId="39">
  <autoFilter ref="A29:H37" xr:uid="{0158F6FE-B7C6-4C6B-A5A0-A7E6DF1148CD}"/>
  <tableColumns count="8">
    <tableColumn id="1" xr3:uid="{0E065628-E93A-4B2C-88A0-A09082CFDFDA}" name="Statistic" dataDxfId="38"/>
    <tableColumn id="2" xr3:uid="{17E6714E-891E-48A1-9F47-3D2C52EDA23C}" name="Calories/100 Grams" dataDxfId="37"/>
    <tableColumn id="3" xr3:uid="{B3000CE1-06CE-42AA-81DD-CC38103AEDEF}" name="CO2E/KG (UN)" dataDxfId="36"/>
    <tableColumn id="4" xr3:uid="{1F295091-FFF2-43A4-9193-F0ED4AD17E2E}" name="CO2E/KG (P&amp;N)" dataDxfId="35"/>
    <tableColumn id="5" xr3:uid="{95C51AB3-CC63-40AC-9123-63D8D167B09A}" name="Land Use (m^2)" dataDxfId="34"/>
    <tableColumn id="6" xr3:uid="{C713180A-31D1-4D82-8D9C-05EB850D73AE}" name="Water (Liters)" dataDxfId="33"/>
    <tableColumn id="7" xr3:uid="{02C11DD1-21AC-4666-846A-D061FECFACD0}" name="Eutrophication (g)" dataDxfId="32"/>
    <tableColumn id="8" xr3:uid="{CB8D4646-55DC-4ED8-9F72-E88AFADA0CA9}" name="Notes" dataDxfId="31"/>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A7512DE-89AE-49DF-9BE4-EDEBA785A532}" name="Table11" displayName="Table11" ref="A43:I55" totalsRowShown="0">
  <autoFilter ref="A43:I55" xr:uid="{7A7512DE-89AE-49DF-9BE4-EDEBA785A532}"/>
  <tableColumns count="9">
    <tableColumn id="1" xr3:uid="{611368DC-6520-4ABF-A26B-89258D33C9FC}" name="Totals" dataDxfId="30"/>
    <tableColumn id="2" xr3:uid="{07EEA78C-E2ED-4574-BCBE-85E04538B1AB}" name="Daily Calories" dataDxfId="29"/>
    <tableColumn id="5" xr3:uid="{82DDBC3B-003A-4269-9B78-D630E2A3D54E}" name="Daily Kilograms" dataDxfId="28"/>
    <tableColumn id="6" xr3:uid="{0B9E17AE-0471-4CAC-97C8-918E775F81AF}" name="Annual KG" dataDxfId="27"/>
    <tableColumn id="7" xr3:uid="{A942C4DA-8E29-43D0-B80C-3567C38800C0}" name="Annual GHG (UN)" dataDxfId="26"/>
    <tableColumn id="8" xr3:uid="{FA23174D-10F8-4B51-9438-3124CF28D62B}" name="Annual GHG-P&amp;N" dataDxfId="25"/>
    <tableColumn id="9" xr3:uid="{F3348850-53D5-4EAD-8C20-F574681007DB}" name="Annual Land Use (m^2)" dataDxfId="24"/>
    <tableColumn id="10" xr3:uid="{635E4645-3EC0-41DA-B15F-5DB4E0E717E6}" name="Annual Water Use (L)" dataDxfId="23"/>
    <tableColumn id="11" xr3:uid="{F3B6D8A2-8DCE-499C-A42C-8020763D08E4}" name="Annual Eutrophication (Kg)" dataDxfId="22"/>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1DD1390-16D9-4B65-9787-6B4534A43E04}" name="Table4" displayName="Table4" ref="A60:I64" totalsRowShown="0">
  <autoFilter ref="A60:I64" xr:uid="{21DD1390-16D9-4B65-9787-6B4534A43E04}"/>
  <tableColumns count="9">
    <tableColumn id="1" xr3:uid="{56B6030F-8A8A-40A0-838B-A8E4ACE656FC}" name="Enter Family Members"/>
    <tableColumn id="2" xr3:uid="{BD45CD12-2AFA-4F2A-A8D8-F1902ED3F123}" name="Name 1" dataDxfId="21">
      <calculatedColumnFormula>SUM(B60:I60)</calculatedColumnFormula>
    </tableColumn>
    <tableColumn id="3" xr3:uid="{50BF12AC-8673-4B18-B57D-C704D6BED340}" name="Name 2"/>
    <tableColumn id="4" xr3:uid="{A36965B3-D8E6-4A8B-AC96-F130534485EE}" name="Name 3"/>
    <tableColumn id="5" xr3:uid="{E96DFBE4-32A5-4EAA-AA99-9F94165DB087}" name="Name 4" dataDxfId="20">
      <calculatedColumnFormula>B61*E52</calculatedColumnFormula>
    </tableColumn>
    <tableColumn id="6" xr3:uid="{361311F4-2849-4021-A6A9-41D46D96C4F3}" name="Name 5" dataDxfId="19">
      <calculatedColumnFormula>B61*F52</calculatedColumnFormula>
    </tableColumn>
    <tableColumn id="7" xr3:uid="{518904FC-D2B0-4031-B12A-F059B9FCE84D}" name="Name 6"/>
    <tableColumn id="8" xr3:uid="{BEA7C633-641C-40AE-984E-174C3FF84645}" name="Name 7"/>
    <tableColumn id="9" xr3:uid="{C4FF17CA-72F3-4789-B44B-ED419AE4A523}" name="Name 8"/>
  </tableColumns>
  <tableStyleInfo name="TableStyleMedium2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753800A-0FD0-44D1-A92C-61BC28F99156}" name="Table3" displayName="Table3" ref="A7:N19" totalsRowShown="0" dataDxfId="18">
  <autoFilter ref="A7:N19" xr:uid="{7753800A-0FD0-44D1-A92C-61BC28F99156}"/>
  <tableColumns count="14">
    <tableColumn id="1" xr3:uid="{15A46633-CABA-4C2C-83FC-1D6E3370B6B2}" name="Vehicle Type"/>
    <tableColumn id="2" xr3:uid="{654C5DF5-8729-40A6-86A1-CFE13D7C28BF}" name="GHG/Mile"/>
    <tableColumn id="3" xr3:uid="{084727DC-1074-4882-85CE-AA27627CCF37}" name="Trip 1" dataDxfId="17"/>
    <tableColumn id="4" xr3:uid="{3B4CA0BA-312A-4959-9A0F-B8AF82500582}" name="Trip 2" dataDxfId="16"/>
    <tableColumn id="5" xr3:uid="{147897C1-3EB5-4AD5-9118-7C478C1D464B}" name="Trip 3" dataDxfId="15"/>
    <tableColumn id="6" xr3:uid="{A21DEF64-9455-457D-B754-AB55173D6A1C}" name="Trip 4" dataDxfId="14"/>
    <tableColumn id="7" xr3:uid="{2D839B64-9CA7-411F-B7C5-CE5D46F437F7}" name="Trip 5" dataDxfId="13"/>
    <tableColumn id="8" xr3:uid="{DA304F0B-ADE5-4935-9DF3-8874152327D0}" name="Trip 6" dataDxfId="12"/>
    <tableColumn id="9" xr3:uid="{9E26A8FA-3AA5-4588-B700-22F9F9A19CAD}" name="Trip 7" dataDxfId="11"/>
    <tableColumn id="10" xr3:uid="{7984E1B5-2299-416A-9C91-858C23D24E06}" name="Trip 8" dataDxfId="10"/>
    <tableColumn id="11" xr3:uid="{9BC0775E-CD2E-45F2-9D2C-15138FFE0AF0}" name="Trip 9" dataDxfId="9"/>
    <tableColumn id="12" xr3:uid="{04C4BA6C-07A4-418D-92FC-F27D40E3173B}" name="Trip 10" dataDxfId="8"/>
    <tableColumn id="13" xr3:uid="{D3D09940-42D1-4201-9A8F-ECD193E27C3E}" name="Total Miles" dataDxfId="7">
      <calculatedColumnFormula>SUM(E8:L8)+Multiplier1*C8+Multiplier2*D8</calculatedColumnFormula>
    </tableColumn>
    <tableColumn id="14" xr3:uid="{5D1F6E2C-6542-4373-AA08-0743624D1F35}" name="Total GHG" dataDxfId="6">
      <calculatedColumnFormula>M8*B8</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www.epa.gov/energy/greenhouse-gas-equivalencies-calculator."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hyperlink" Target="https://www.epa.gov/greenvehicles/greenhouse-gas-emissions-typical-passenger-vehicle" TargetMode="External"/><Relationship Id="rId1" Type="http://schemas.openxmlformats.org/officeDocument/2006/relationships/hyperlink" Target="https://www.fueleconomy.gov/feg/findacar.shtml" TargetMode="Externa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_rels/sheet5.xml.rels><?xml version="1.0" encoding="UTF-8" standalone="yes"?>
<Relationships xmlns="http://schemas.openxmlformats.org/package/2006/relationships"><Relationship Id="rId1" Type="http://schemas.openxmlformats.org/officeDocument/2006/relationships/table" Target="../tables/table9.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6C431-6FA2-419F-88CD-FC263B22328F}">
  <dimension ref="A1:A27"/>
  <sheetViews>
    <sheetView tabSelected="1" workbookViewId="0">
      <selection activeCell="A5" sqref="A5"/>
    </sheetView>
  </sheetViews>
  <sheetFormatPr defaultRowHeight="15" x14ac:dyDescent="0.25"/>
  <sheetData>
    <row r="1" spans="1:1" ht="34.5" x14ac:dyDescent="0.55000000000000004">
      <c r="A1" s="27" t="s">
        <v>185</v>
      </c>
    </row>
    <row r="3" spans="1:1" ht="21" x14ac:dyDescent="0.35">
      <c r="A3" s="6" t="s">
        <v>69</v>
      </c>
    </row>
    <row r="5" spans="1:1" ht="21" x14ac:dyDescent="0.35">
      <c r="A5" s="24" t="s">
        <v>70</v>
      </c>
    </row>
    <row r="6" spans="1:1" ht="21" x14ac:dyDescent="0.35">
      <c r="A6" s="24" t="s">
        <v>172</v>
      </c>
    </row>
    <row r="7" spans="1:1" ht="21" x14ac:dyDescent="0.35">
      <c r="A7" s="24" t="s">
        <v>71</v>
      </c>
    </row>
    <row r="8" spans="1:1" ht="21" x14ac:dyDescent="0.35">
      <c r="A8" s="24"/>
    </row>
    <row r="9" spans="1:1" ht="21" x14ac:dyDescent="0.35">
      <c r="A9" s="24" t="s">
        <v>171</v>
      </c>
    </row>
    <row r="12" spans="1:1" ht="21" x14ac:dyDescent="0.35">
      <c r="A12" s="24" t="s">
        <v>186</v>
      </c>
    </row>
    <row r="25" spans="1:1" x14ac:dyDescent="0.25">
      <c r="A25" s="1" t="s">
        <v>36</v>
      </c>
    </row>
    <row r="26" spans="1:1" x14ac:dyDescent="0.25">
      <c r="A26" t="s">
        <v>252</v>
      </c>
    </row>
    <row r="27" spans="1:1" x14ac:dyDescent="0.25">
      <c r="A27" t="s">
        <v>253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A9BC8-4105-4A51-A867-132DA33DA33F}">
  <dimension ref="A1:P44"/>
  <sheetViews>
    <sheetView workbookViewId="0">
      <selection activeCell="A9" sqref="A9"/>
    </sheetView>
  </sheetViews>
  <sheetFormatPr defaultRowHeight="15" x14ac:dyDescent="0.25"/>
  <cols>
    <col min="1" max="1" width="24" customWidth="1"/>
    <col min="2" max="2" width="13.85546875" customWidth="1"/>
    <col min="3" max="3" width="15.140625" customWidth="1"/>
    <col min="4" max="4" width="16.140625" customWidth="1"/>
    <col min="5" max="5" width="14.7109375" customWidth="1"/>
    <col min="6" max="6" width="14.140625" customWidth="1"/>
    <col min="7" max="7" width="16" customWidth="1"/>
    <col min="8" max="8" width="14.28515625" customWidth="1"/>
    <col min="9" max="9" width="12.85546875" customWidth="1"/>
    <col min="10" max="10" width="14.140625" customWidth="1"/>
    <col min="11" max="11" width="13.28515625" customWidth="1"/>
    <col min="12" max="12" width="15.85546875" customWidth="1"/>
    <col min="13" max="13" width="16.5703125" customWidth="1"/>
    <col min="14" max="14" width="13.85546875" customWidth="1"/>
    <col min="15" max="15" width="13" customWidth="1"/>
  </cols>
  <sheetData>
    <row r="1" spans="1:15" ht="26.25" x14ac:dyDescent="0.4">
      <c r="A1" s="8" t="s">
        <v>101</v>
      </c>
    </row>
    <row r="3" spans="1:15" ht="15.75" x14ac:dyDescent="0.25">
      <c r="A3" s="4" t="s">
        <v>102</v>
      </c>
    </row>
    <row r="5" spans="1:15" x14ac:dyDescent="0.25">
      <c r="A5" t="s">
        <v>127</v>
      </c>
    </row>
    <row r="6" spans="1:15" x14ac:dyDescent="0.25">
      <c r="A6" t="s">
        <v>103</v>
      </c>
    </row>
    <row r="7" spans="1:15" x14ac:dyDescent="0.25">
      <c r="A7" t="s">
        <v>128</v>
      </c>
    </row>
    <row r="9" spans="1:15" ht="15.75" x14ac:dyDescent="0.25">
      <c r="A9" s="4" t="s">
        <v>142</v>
      </c>
    </row>
    <row r="10" spans="1:15" ht="15.75" x14ac:dyDescent="0.25">
      <c r="A10" s="4" t="s">
        <v>137</v>
      </c>
    </row>
    <row r="11" spans="1:15" ht="15.75" x14ac:dyDescent="0.25">
      <c r="A11" s="4" t="s">
        <v>173</v>
      </c>
    </row>
    <row r="12" spans="1:15" ht="15.75" x14ac:dyDescent="0.25">
      <c r="A12" s="4" t="s">
        <v>133</v>
      </c>
    </row>
    <row r="14" spans="1:15" x14ac:dyDescent="0.25">
      <c r="A14" t="s">
        <v>126</v>
      </c>
    </row>
    <row r="15" spans="1:15" x14ac:dyDescent="0.25">
      <c r="A15" t="s">
        <v>26</v>
      </c>
      <c r="B15" t="s">
        <v>106</v>
      </c>
      <c r="C15" t="s">
        <v>110</v>
      </c>
      <c r="D15" t="s">
        <v>140</v>
      </c>
      <c r="E15" t="s">
        <v>134</v>
      </c>
      <c r="F15" t="s">
        <v>146</v>
      </c>
      <c r="G15" t="s">
        <v>135</v>
      </c>
      <c r="H15" t="s">
        <v>145</v>
      </c>
      <c r="I15" t="s">
        <v>147</v>
      </c>
      <c r="J15" t="s">
        <v>148</v>
      </c>
      <c r="K15" t="s">
        <v>121</v>
      </c>
      <c r="L15" t="s">
        <v>141</v>
      </c>
      <c r="M15" t="s">
        <v>131</v>
      </c>
    </row>
    <row r="16" spans="1:15" ht="21" x14ac:dyDescent="0.35">
      <c r="A16" t="s">
        <v>107</v>
      </c>
      <c r="B16" s="21" t="s">
        <v>108</v>
      </c>
      <c r="C16" s="21" t="s">
        <v>109</v>
      </c>
      <c r="D16" s="21" t="s">
        <v>125</v>
      </c>
      <c r="E16" s="21" t="s">
        <v>136</v>
      </c>
      <c r="F16" s="21" t="s">
        <v>125</v>
      </c>
      <c r="G16" s="21" t="s">
        <v>136</v>
      </c>
      <c r="H16" s="21" t="s">
        <v>125</v>
      </c>
      <c r="I16" s="21" t="s">
        <v>147</v>
      </c>
      <c r="J16" s="21" t="s">
        <v>199</v>
      </c>
      <c r="K16" s="21" t="s">
        <v>122</v>
      </c>
      <c r="L16" s="21" t="s">
        <v>129</v>
      </c>
      <c r="M16" s="21" t="s">
        <v>132</v>
      </c>
      <c r="O16" s="6" t="s">
        <v>225</v>
      </c>
    </row>
    <row r="17" spans="1:16" x14ac:dyDescent="0.25">
      <c r="A17" t="s">
        <v>104</v>
      </c>
      <c r="B17" s="2"/>
      <c r="C17" s="2"/>
      <c r="D17" s="2"/>
      <c r="E17" s="2"/>
      <c r="F17" s="2"/>
      <c r="G17" s="2"/>
      <c r="H17" s="2"/>
      <c r="I17" s="2"/>
      <c r="J17" s="2"/>
      <c r="K17" s="2"/>
      <c r="L17" s="2"/>
      <c r="M17" s="2"/>
      <c r="O17" s="25"/>
    </row>
    <row r="18" spans="1:16" x14ac:dyDescent="0.25">
      <c r="A18" t="s">
        <v>105</v>
      </c>
      <c r="B18" s="2"/>
      <c r="C18" s="2"/>
      <c r="D18" s="2"/>
      <c r="E18" s="2"/>
      <c r="F18" s="2"/>
      <c r="G18" s="2"/>
      <c r="H18" s="2"/>
      <c r="I18" s="2"/>
      <c r="J18" s="2"/>
      <c r="K18" s="2"/>
      <c r="L18" s="2"/>
      <c r="M18" s="2"/>
      <c r="O18" s="25"/>
    </row>
    <row r="19" spans="1:16" x14ac:dyDescent="0.25">
      <c r="A19" t="s">
        <v>111</v>
      </c>
      <c r="B19" s="2"/>
      <c r="C19" s="2"/>
      <c r="D19" s="2"/>
      <c r="E19" s="2"/>
      <c r="F19" s="2"/>
      <c r="G19" s="2"/>
      <c r="H19" s="2"/>
      <c r="I19" s="2"/>
      <c r="J19" s="2"/>
      <c r="K19" s="2"/>
      <c r="L19" s="2"/>
      <c r="M19" s="2"/>
      <c r="O19" s="25"/>
    </row>
    <row r="20" spans="1:16" x14ac:dyDescent="0.25">
      <c r="A20" t="s">
        <v>112</v>
      </c>
      <c r="B20" s="2"/>
      <c r="C20" s="2"/>
      <c r="D20" s="2"/>
      <c r="E20" s="2"/>
      <c r="F20" s="2"/>
      <c r="G20" s="2"/>
      <c r="H20" s="2"/>
      <c r="I20" s="2"/>
      <c r="J20" s="2"/>
      <c r="K20" s="2"/>
      <c r="L20" s="2"/>
      <c r="M20" s="2"/>
      <c r="O20" s="25"/>
    </row>
    <row r="21" spans="1:16" x14ac:dyDescent="0.25">
      <c r="A21" t="s">
        <v>113</v>
      </c>
      <c r="B21" s="2"/>
      <c r="C21" s="2"/>
      <c r="D21" s="2"/>
      <c r="E21" s="2"/>
      <c r="F21" s="2"/>
      <c r="G21" s="2"/>
      <c r="H21" s="2"/>
      <c r="I21" s="2"/>
      <c r="J21" s="2"/>
      <c r="K21" s="2"/>
      <c r="L21" s="2"/>
      <c r="M21" s="2"/>
      <c r="O21" s="25"/>
    </row>
    <row r="22" spans="1:16" x14ac:dyDescent="0.25">
      <c r="A22" t="s">
        <v>114</v>
      </c>
      <c r="B22" s="2"/>
      <c r="C22" s="2"/>
      <c r="D22" s="2"/>
      <c r="E22" s="2"/>
      <c r="F22" s="2"/>
      <c r="G22" s="2"/>
      <c r="H22" s="2"/>
      <c r="I22" s="2"/>
      <c r="J22" s="2"/>
      <c r="K22" s="2"/>
      <c r="L22" s="2"/>
      <c r="M22" s="2"/>
      <c r="O22" s="25"/>
    </row>
    <row r="23" spans="1:16" x14ac:dyDescent="0.25">
      <c r="A23" t="s">
        <v>115</v>
      </c>
      <c r="B23" s="2"/>
      <c r="C23" s="2"/>
      <c r="D23" s="2"/>
      <c r="E23" s="2"/>
      <c r="F23" s="2"/>
      <c r="G23" s="2"/>
      <c r="H23" s="2"/>
      <c r="I23" s="2"/>
      <c r="J23" s="2"/>
      <c r="K23" s="2"/>
      <c r="L23" s="2"/>
      <c r="M23" s="2"/>
      <c r="O23" s="25"/>
    </row>
    <row r="24" spans="1:16" x14ac:dyDescent="0.25">
      <c r="A24" t="s">
        <v>116</v>
      </c>
      <c r="B24" s="2"/>
      <c r="C24" s="2"/>
      <c r="D24" s="2"/>
      <c r="E24" s="2"/>
      <c r="F24" s="2"/>
      <c r="G24" s="2"/>
      <c r="H24" s="2"/>
      <c r="I24" s="2"/>
      <c r="J24" s="2"/>
      <c r="K24" s="2"/>
      <c r="L24" s="2"/>
      <c r="M24" s="2"/>
      <c r="O24" s="25"/>
    </row>
    <row r="25" spans="1:16" x14ac:dyDescent="0.25">
      <c r="A25" t="s">
        <v>117</v>
      </c>
      <c r="B25" s="2"/>
      <c r="C25" s="2"/>
      <c r="D25" s="2"/>
      <c r="E25" s="2"/>
      <c r="F25" s="2"/>
      <c r="G25" s="2"/>
      <c r="H25" s="2"/>
      <c r="I25" s="2"/>
      <c r="J25" s="2"/>
      <c r="K25" s="2"/>
      <c r="L25" s="2"/>
      <c r="M25" s="2"/>
      <c r="O25" s="25"/>
    </row>
    <row r="26" spans="1:16" x14ac:dyDescent="0.25">
      <c r="A26" t="s">
        <v>118</v>
      </c>
      <c r="B26" s="2"/>
      <c r="C26" s="2"/>
      <c r="D26" s="2"/>
      <c r="E26" s="2"/>
      <c r="F26" s="2"/>
      <c r="G26" s="2"/>
      <c r="H26" s="2"/>
      <c r="I26" s="2"/>
      <c r="J26" s="2"/>
      <c r="K26" s="2"/>
      <c r="L26" s="2"/>
      <c r="M26" s="2"/>
      <c r="O26" s="25"/>
    </row>
    <row r="27" spans="1:16" x14ac:dyDescent="0.25">
      <c r="A27" t="s">
        <v>119</v>
      </c>
      <c r="B27" s="2"/>
      <c r="C27" s="2"/>
      <c r="D27" s="2"/>
      <c r="E27" s="2"/>
      <c r="F27" s="2"/>
      <c r="G27" s="2"/>
      <c r="H27" s="2"/>
      <c r="I27" s="2"/>
      <c r="J27" s="2"/>
      <c r="K27" s="2"/>
      <c r="L27" s="2"/>
      <c r="M27" s="2"/>
      <c r="O27" s="25"/>
    </row>
    <row r="28" spans="1:16" x14ac:dyDescent="0.25">
      <c r="A28" t="s">
        <v>120</v>
      </c>
      <c r="B28" s="2"/>
      <c r="C28" s="2"/>
      <c r="D28" s="2"/>
      <c r="E28" s="2"/>
      <c r="F28" s="2"/>
      <c r="G28" s="2"/>
      <c r="H28" s="2"/>
      <c r="I28" s="2"/>
      <c r="J28" s="2"/>
      <c r="K28" s="2"/>
      <c r="L28" s="2"/>
      <c r="M28" s="2"/>
      <c r="O28" s="25"/>
    </row>
    <row r="29" spans="1:16" s="1" customFormat="1" x14ac:dyDescent="0.25">
      <c r="A29" s="1" t="s">
        <v>123</v>
      </c>
      <c r="B29" s="1">
        <f>SUM(B17:B28)</f>
        <v>0</v>
      </c>
      <c r="C29" s="1">
        <f>SUM(C17:C28)</f>
        <v>0</v>
      </c>
      <c r="D29" s="1">
        <f>SUM(D17:D28)</f>
        <v>0</v>
      </c>
      <c r="E29" s="1">
        <f t="shared" ref="E29" si="0">SUM(E17:E28)</f>
        <v>0</v>
      </c>
      <c r="F29" s="1">
        <f t="shared" ref="F29" si="1">SUM(F17:F28)</f>
        <v>0</v>
      </c>
      <c r="G29" s="1">
        <f t="shared" ref="G29" si="2">SUM(G17:G28)</f>
        <v>0</v>
      </c>
      <c r="H29" s="1">
        <f t="shared" ref="H29:M29" si="3">SUM(H17:H28)</f>
        <v>0</v>
      </c>
      <c r="I29" s="1">
        <f t="shared" si="3"/>
        <v>0</v>
      </c>
      <c r="J29" s="1">
        <f t="shared" si="3"/>
        <v>0</v>
      </c>
      <c r="K29" s="1">
        <f t="shared" si="3"/>
        <v>0</v>
      </c>
      <c r="L29" s="1">
        <f t="shared" si="3"/>
        <v>0</v>
      </c>
      <c r="M29" s="1">
        <f t="shared" si="3"/>
        <v>0</v>
      </c>
      <c r="N29" s="1" t="s">
        <v>174</v>
      </c>
      <c r="O29" s="26">
        <f>SUM(O17:O28)/0.264172</f>
        <v>0</v>
      </c>
      <c r="P29" s="1" t="s">
        <v>175</v>
      </c>
    </row>
    <row r="30" spans="1:16" x14ac:dyDescent="0.25">
      <c r="A30" t="s">
        <v>130</v>
      </c>
      <c r="B30" t="e">
        <f t="shared" ref="B30:M30" si="4">AVERAGE(B17:B28)</f>
        <v>#DIV/0!</v>
      </c>
      <c r="C30" t="e">
        <f t="shared" si="4"/>
        <v>#DIV/0!</v>
      </c>
      <c r="D30" t="e">
        <f t="shared" si="4"/>
        <v>#DIV/0!</v>
      </c>
      <c r="E30" t="e">
        <f t="shared" si="4"/>
        <v>#DIV/0!</v>
      </c>
      <c r="F30" t="e">
        <f t="shared" si="4"/>
        <v>#DIV/0!</v>
      </c>
      <c r="G30" t="e">
        <f t="shared" si="4"/>
        <v>#DIV/0!</v>
      </c>
      <c r="H30" t="e">
        <f t="shared" si="4"/>
        <v>#DIV/0!</v>
      </c>
      <c r="I30" t="e">
        <f t="shared" si="4"/>
        <v>#DIV/0!</v>
      </c>
      <c r="J30" t="e">
        <f t="shared" si="4"/>
        <v>#DIV/0!</v>
      </c>
      <c r="K30" t="e">
        <f t="shared" si="4"/>
        <v>#DIV/0!</v>
      </c>
      <c r="L30" t="e">
        <f t="shared" si="4"/>
        <v>#DIV/0!</v>
      </c>
      <c r="M30" t="e">
        <f t="shared" si="4"/>
        <v>#DIV/0!</v>
      </c>
    </row>
    <row r="31" spans="1:16" x14ac:dyDescent="0.25">
      <c r="A31" t="s">
        <v>143</v>
      </c>
      <c r="B31" s="2">
        <v>0.39400000000000002</v>
      </c>
      <c r="C31">
        <v>5.3114499999999998</v>
      </c>
      <c r="D31">
        <v>53.1145</v>
      </c>
      <c r="E31">
        <v>10.24268</v>
      </c>
      <c r="F31">
        <v>74.203000000000003</v>
      </c>
      <c r="G31">
        <v>5.7408099999999997</v>
      </c>
      <c r="H31">
        <v>61.703000000000003</v>
      </c>
    </row>
    <row r="32" spans="1:16" s="1" customFormat="1" x14ac:dyDescent="0.25">
      <c r="A32" s="1" t="s">
        <v>124</v>
      </c>
      <c r="B32" s="1">
        <f>B29*B31</f>
        <v>0</v>
      </c>
      <c r="C32" s="1">
        <f>C29*C31</f>
        <v>0</v>
      </c>
      <c r="J32" s="1">
        <f>SUM(C32:I32)</f>
        <v>0</v>
      </c>
    </row>
    <row r="35" spans="1:1" ht="15.75" x14ac:dyDescent="0.25">
      <c r="A35" s="4" t="s">
        <v>138</v>
      </c>
    </row>
    <row r="36" spans="1:1" x14ac:dyDescent="0.25">
      <c r="A36" s="20" t="s">
        <v>139</v>
      </c>
    </row>
    <row r="37" spans="1:1" x14ac:dyDescent="0.25">
      <c r="A37" t="s">
        <v>144</v>
      </c>
    </row>
    <row r="38" spans="1:1" x14ac:dyDescent="0.25">
      <c r="A38" t="s">
        <v>230</v>
      </c>
    </row>
    <row r="40" spans="1:1" x14ac:dyDescent="0.25">
      <c r="A40" s="1" t="s">
        <v>73</v>
      </c>
    </row>
    <row r="41" spans="1:1" x14ac:dyDescent="0.25">
      <c r="A41" t="s">
        <v>224</v>
      </c>
    </row>
    <row r="43" spans="1:1" x14ac:dyDescent="0.25">
      <c r="A43" s="1" t="s">
        <v>81</v>
      </c>
    </row>
    <row r="44" spans="1:1" x14ac:dyDescent="0.25">
      <c r="A44" t="s">
        <v>150</v>
      </c>
    </row>
  </sheetData>
  <hyperlinks>
    <hyperlink ref="A36" r:id="rId1" xr:uid="{195F976B-801C-4A79-8CC5-1FBA8C982940}"/>
  </hyperlinks>
  <pageMargins left="0.7" right="0.7" top="0.75" bottom="0.75" header="0.3" footer="0.3"/>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70A06-D76C-438A-9056-B9EA06DF8350}">
  <dimension ref="A1:I33"/>
  <sheetViews>
    <sheetView topLeftCell="A5" workbookViewId="0">
      <selection activeCell="A9" sqref="A9"/>
    </sheetView>
  </sheetViews>
  <sheetFormatPr defaultRowHeight="15" x14ac:dyDescent="0.25"/>
  <cols>
    <col min="1" max="1" width="33.28515625" customWidth="1"/>
    <col min="2" max="2" width="15.140625" customWidth="1"/>
    <col min="3" max="4" width="14.140625" customWidth="1"/>
    <col min="6" max="6" width="11" customWidth="1"/>
    <col min="7" max="7" width="36.42578125" customWidth="1"/>
    <col min="8" max="8" width="19.7109375" customWidth="1"/>
    <col min="9" max="9" width="18.140625" customWidth="1"/>
  </cols>
  <sheetData>
    <row r="1" spans="1:9" ht="24" x14ac:dyDescent="0.4">
      <c r="A1" s="7" t="s">
        <v>164</v>
      </c>
    </row>
    <row r="3" spans="1:9" x14ac:dyDescent="0.25">
      <c r="A3" s="1" t="s">
        <v>77</v>
      </c>
    </row>
    <row r="6" spans="1:9" ht="15.75" x14ac:dyDescent="0.25">
      <c r="A6" s="4" t="s">
        <v>219</v>
      </c>
    </row>
    <row r="7" spans="1:9" x14ac:dyDescent="0.25">
      <c r="A7" t="s">
        <v>220</v>
      </c>
    </row>
    <row r="9" spans="1:9" ht="15.75" x14ac:dyDescent="0.25">
      <c r="A9" s="4" t="s">
        <v>165</v>
      </c>
      <c r="F9" t="s">
        <v>26</v>
      </c>
      <c r="G9" t="s">
        <v>232</v>
      </c>
      <c r="H9" t="s">
        <v>233</v>
      </c>
      <c r="I9" t="s">
        <v>237</v>
      </c>
    </row>
    <row r="10" spans="1:9" x14ac:dyDescent="0.25">
      <c r="A10" s="20" t="s">
        <v>187</v>
      </c>
      <c r="F10" t="s">
        <v>235</v>
      </c>
    </row>
    <row r="11" spans="1:9" x14ac:dyDescent="0.25">
      <c r="F11" t="s">
        <v>234</v>
      </c>
      <c r="I11" t="s">
        <v>238</v>
      </c>
    </row>
    <row r="12" spans="1:9" x14ac:dyDescent="0.25">
      <c r="F12" t="s">
        <v>236</v>
      </c>
      <c r="G12">
        <f>G11*G10+H11*H10</f>
        <v>0</v>
      </c>
    </row>
    <row r="14" spans="1:9" ht="21" x14ac:dyDescent="0.35">
      <c r="G14" s="6" t="s">
        <v>195</v>
      </c>
    </row>
    <row r="15" spans="1:9" ht="21" x14ac:dyDescent="0.35">
      <c r="A15" s="6" t="s">
        <v>176</v>
      </c>
      <c r="G15" t="s">
        <v>160</v>
      </c>
      <c r="H15" t="s">
        <v>157</v>
      </c>
      <c r="I15" t="s">
        <v>158</v>
      </c>
    </row>
    <row r="16" spans="1:9" x14ac:dyDescent="0.25">
      <c r="A16" t="s">
        <v>160</v>
      </c>
      <c r="B16" t="s">
        <v>157</v>
      </c>
      <c r="C16" t="s">
        <v>158</v>
      </c>
      <c r="G16" t="s">
        <v>191</v>
      </c>
      <c r="H16" s="28"/>
      <c r="I16" s="2"/>
    </row>
    <row r="17" spans="1:9" x14ac:dyDescent="0.25">
      <c r="A17" t="s">
        <v>153</v>
      </c>
      <c r="B17" s="28"/>
      <c r="C17" s="2"/>
      <c r="G17" t="s">
        <v>192</v>
      </c>
      <c r="H17" s="2">
        <v>0</v>
      </c>
      <c r="I17" s="2">
        <v>0</v>
      </c>
    </row>
    <row r="18" spans="1:9" x14ac:dyDescent="0.25">
      <c r="A18" t="s">
        <v>154</v>
      </c>
      <c r="B18" s="2">
        <v>0</v>
      </c>
      <c r="C18" s="2">
        <v>0</v>
      </c>
      <c r="G18" t="s">
        <v>193</v>
      </c>
      <c r="H18" s="28">
        <f>H16-H17</f>
        <v>0</v>
      </c>
      <c r="I18" s="2">
        <f t="shared" ref="I18" si="0">I16-I17</f>
        <v>0</v>
      </c>
    </row>
    <row r="19" spans="1:9" x14ac:dyDescent="0.25">
      <c r="A19" t="s">
        <v>231</v>
      </c>
      <c r="B19" s="2">
        <f>B17-B18</f>
        <v>0</v>
      </c>
      <c r="C19" s="2">
        <f t="shared" ref="C19" si="1">C17-C18</f>
        <v>0</v>
      </c>
      <c r="G19" t="s">
        <v>155</v>
      </c>
      <c r="H19" s="2"/>
      <c r="I19" s="2"/>
    </row>
    <row r="20" spans="1:9" x14ac:dyDescent="0.25">
      <c r="A20" t="s">
        <v>155</v>
      </c>
      <c r="B20" s="2"/>
      <c r="C20" s="2"/>
      <c r="G20" t="s">
        <v>194</v>
      </c>
      <c r="H20" t="e">
        <f>H18/H19</f>
        <v>#DIV/0!</v>
      </c>
      <c r="I20" t="e">
        <f>I18/I19</f>
        <v>#DIV/0!</v>
      </c>
    </row>
    <row r="21" spans="1:9" x14ac:dyDescent="0.25">
      <c r="A21" t="s">
        <v>156</v>
      </c>
      <c r="B21" t="e">
        <f>B19/B20</f>
        <v>#DIV/0!</v>
      </c>
      <c r="C21" t="e">
        <f>C19/C20</f>
        <v>#DIV/0!</v>
      </c>
      <c r="G21" t="s">
        <v>161</v>
      </c>
      <c r="H21" s="2"/>
      <c r="I21" s="2"/>
    </row>
    <row r="22" spans="1:9" x14ac:dyDescent="0.25">
      <c r="A22" t="s">
        <v>161</v>
      </c>
      <c r="B22" s="2">
        <v>28.9</v>
      </c>
      <c r="C22" s="2"/>
      <c r="G22" t="s">
        <v>190</v>
      </c>
      <c r="H22" t="e">
        <f>H20/(H21*1.60934)</f>
        <v>#DIV/0!</v>
      </c>
      <c r="I22" t="e">
        <f>I20/I21</f>
        <v>#DIV/0!</v>
      </c>
    </row>
    <row r="23" spans="1:9" x14ac:dyDescent="0.25">
      <c r="A23" t="s">
        <v>190</v>
      </c>
      <c r="B23" t="e">
        <f>B21/B22</f>
        <v>#DIV/0!</v>
      </c>
      <c r="C23" t="e">
        <f>C21/C22</f>
        <v>#DIV/0!</v>
      </c>
      <c r="G23" t="s">
        <v>162</v>
      </c>
      <c r="H23">
        <v>8.8870000000000005</v>
      </c>
      <c r="I23">
        <v>10.18</v>
      </c>
    </row>
    <row r="24" spans="1:9" x14ac:dyDescent="0.25">
      <c r="A24" t="s">
        <v>162</v>
      </c>
      <c r="B24">
        <v>8.8870000000000005</v>
      </c>
      <c r="C24">
        <v>10.18</v>
      </c>
      <c r="G24" s="1" t="s">
        <v>163</v>
      </c>
      <c r="H24" s="1" t="e">
        <f>H22*H23</f>
        <v>#DIV/0!</v>
      </c>
      <c r="I24" s="1" t="e">
        <f>I22*I23</f>
        <v>#DIV/0!</v>
      </c>
    </row>
    <row r="25" spans="1:9" x14ac:dyDescent="0.25">
      <c r="A25" s="1" t="s">
        <v>163</v>
      </c>
      <c r="B25" s="1" t="e">
        <f>B23*B24</f>
        <v>#DIV/0!</v>
      </c>
      <c r="C25" s="1" t="e">
        <f>C23*C24</f>
        <v>#DIV/0!</v>
      </c>
      <c r="G25" t="s">
        <v>240</v>
      </c>
      <c r="H25" t="e">
        <f>1/H21*H23</f>
        <v>#DIV/0!</v>
      </c>
      <c r="I25" t="e">
        <f>1/I21*I23</f>
        <v>#DIV/0!</v>
      </c>
    </row>
    <row r="26" spans="1:9" x14ac:dyDescent="0.25">
      <c r="A26" t="s">
        <v>239</v>
      </c>
      <c r="B26">
        <f>1/B22*B24</f>
        <v>0.3075086505190312</v>
      </c>
      <c r="C26" t="e">
        <f>1/C22*C24</f>
        <v>#DIV/0!</v>
      </c>
      <c r="G26" t="s">
        <v>196</v>
      </c>
    </row>
    <row r="28" spans="1:9" x14ac:dyDescent="0.25">
      <c r="A28" t="s">
        <v>208</v>
      </c>
      <c r="G28" s="31" t="s">
        <v>222</v>
      </c>
      <c r="H28" s="2"/>
    </row>
    <row r="29" spans="1:9" x14ac:dyDescent="0.25">
      <c r="A29" s="29" t="s">
        <v>206</v>
      </c>
      <c r="B29" s="29">
        <f>IF(ISNUMBER(B25),B25,0)</f>
        <v>0</v>
      </c>
      <c r="C29" s="29">
        <f>IF(ISNUMBER(C25),C25,0)</f>
        <v>0</v>
      </c>
      <c r="D29" s="29">
        <f>IF(ISNUMBER(H24),H24,0)</f>
        <v>0</v>
      </c>
      <c r="E29" s="29">
        <f>IF(ISNUMBER(I24),I24,0)</f>
        <v>0</v>
      </c>
      <c r="G29" s="30" t="s">
        <v>223</v>
      </c>
      <c r="H29" s="30">
        <f>H28*2.35215</f>
        <v>0</v>
      </c>
    </row>
    <row r="30" spans="1:9" x14ac:dyDescent="0.25">
      <c r="A30" s="29" t="s">
        <v>207</v>
      </c>
      <c r="B30" s="29">
        <f>SUM(B29:E29)</f>
        <v>0</v>
      </c>
      <c r="C30" s="29"/>
      <c r="D30" s="29"/>
      <c r="E30" s="29"/>
    </row>
    <row r="32" spans="1:9" ht="18.75" x14ac:dyDescent="0.3">
      <c r="A32" s="5" t="s">
        <v>188</v>
      </c>
    </row>
    <row r="33" spans="1:1" x14ac:dyDescent="0.25">
      <c r="A33" s="20" t="s">
        <v>189</v>
      </c>
    </row>
  </sheetData>
  <hyperlinks>
    <hyperlink ref="A10" r:id="rId1" xr:uid="{9D58361C-10FB-4672-BF3C-055ECD13DC7D}"/>
    <hyperlink ref="A33" r:id="rId2" xr:uid="{22570EED-7D85-4ADE-A768-EBE17EC12EE3}"/>
  </hyperlinks>
  <pageMargins left="0.7" right="0.7" top="0.75" bottom="0.75" header="0.3" footer="0.3"/>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18019-B9FF-4D66-B175-F0C05E7112E2}">
  <dimension ref="A1:I86"/>
  <sheetViews>
    <sheetView workbookViewId="0">
      <selection activeCell="F19" sqref="F19"/>
    </sheetView>
  </sheetViews>
  <sheetFormatPr defaultRowHeight="15" x14ac:dyDescent="0.25"/>
  <cols>
    <col min="1" max="1" width="29.85546875" customWidth="1"/>
    <col min="2" max="2" width="20.42578125" customWidth="1"/>
    <col min="3" max="3" width="18.140625" customWidth="1"/>
    <col min="4" max="4" width="17.140625" customWidth="1"/>
    <col min="5" max="5" width="18.5703125" customWidth="1"/>
    <col min="6" max="6" width="21.85546875" customWidth="1"/>
    <col min="7" max="7" width="23.42578125" customWidth="1"/>
    <col min="8" max="8" width="22.42578125" customWidth="1"/>
    <col min="9" max="9" width="28.28515625" customWidth="1"/>
    <col min="10" max="10" width="21.42578125" customWidth="1"/>
    <col min="11" max="11" width="25.7109375" customWidth="1"/>
  </cols>
  <sheetData>
    <row r="1" spans="1:9" ht="26.25" x14ac:dyDescent="0.4">
      <c r="A1" s="8" t="s">
        <v>72</v>
      </c>
    </row>
    <row r="3" spans="1:9" ht="15.75" x14ac:dyDescent="0.25">
      <c r="A3" s="4" t="s">
        <v>77</v>
      </c>
    </row>
    <row r="4" spans="1:9" ht="15.75" x14ac:dyDescent="0.25">
      <c r="A4" s="4" t="s">
        <v>84</v>
      </c>
    </row>
    <row r="5" spans="1:9" ht="15.75" x14ac:dyDescent="0.25">
      <c r="A5" s="4" t="s">
        <v>57</v>
      </c>
    </row>
    <row r="7" spans="1:9" x14ac:dyDescent="0.25">
      <c r="A7" t="s">
        <v>56</v>
      </c>
    </row>
    <row r="8" spans="1:9" x14ac:dyDescent="0.25">
      <c r="A8" t="s">
        <v>26</v>
      </c>
      <c r="B8" t="s">
        <v>27</v>
      </c>
      <c r="C8" t="s">
        <v>28</v>
      </c>
      <c r="D8" t="s">
        <v>29</v>
      </c>
      <c r="E8" t="s">
        <v>30</v>
      </c>
      <c r="F8" t="s">
        <v>31</v>
      </c>
      <c r="G8" t="s">
        <v>32</v>
      </c>
      <c r="H8" t="s">
        <v>33</v>
      </c>
      <c r="I8" t="s">
        <v>34</v>
      </c>
    </row>
    <row r="9" spans="1:9" x14ac:dyDescent="0.25">
      <c r="B9" t="s">
        <v>46</v>
      </c>
      <c r="C9" t="s">
        <v>47</v>
      </c>
      <c r="D9" t="s">
        <v>48</v>
      </c>
      <c r="E9" t="s">
        <v>49</v>
      </c>
      <c r="F9" t="s">
        <v>50</v>
      </c>
      <c r="G9" t="s">
        <v>51</v>
      </c>
      <c r="H9" t="s">
        <v>52</v>
      </c>
      <c r="I9" t="s">
        <v>53</v>
      </c>
    </row>
    <row r="10" spans="1:9" x14ac:dyDescent="0.25">
      <c r="A10" t="s">
        <v>38</v>
      </c>
      <c r="B10" s="2"/>
      <c r="C10" s="2"/>
      <c r="D10" s="2"/>
      <c r="E10" s="2"/>
      <c r="F10" s="2"/>
      <c r="G10" s="2"/>
      <c r="H10" s="2"/>
      <c r="I10">
        <f>SUM(B10:H10)/10</f>
        <v>0</v>
      </c>
    </row>
    <row r="11" spans="1:9" x14ac:dyDescent="0.25">
      <c r="A11" t="s">
        <v>41</v>
      </c>
      <c r="B11" s="2"/>
      <c r="C11" s="2"/>
      <c r="D11" s="2"/>
      <c r="E11" s="2"/>
      <c r="F11" s="2"/>
      <c r="G11" s="2"/>
      <c r="H11" s="2"/>
      <c r="I11">
        <f t="shared" ref="I11:I15" si="0">SUM(B11:H11)/10</f>
        <v>0</v>
      </c>
    </row>
    <row r="12" spans="1:9" x14ac:dyDescent="0.25">
      <c r="A12" t="s">
        <v>42</v>
      </c>
      <c r="B12" s="2"/>
      <c r="C12" s="2"/>
      <c r="D12" s="2"/>
      <c r="E12" s="2"/>
      <c r="F12" s="2"/>
      <c r="G12" s="2"/>
      <c r="H12" s="2"/>
      <c r="I12">
        <f t="shared" si="0"/>
        <v>0</v>
      </c>
    </row>
    <row r="13" spans="1:9" x14ac:dyDescent="0.25">
      <c r="A13" t="s">
        <v>43</v>
      </c>
      <c r="B13" s="2"/>
      <c r="C13" s="2"/>
      <c r="D13" s="2"/>
      <c r="E13" s="2"/>
      <c r="F13" s="2"/>
      <c r="G13" s="2"/>
      <c r="H13" s="2"/>
      <c r="I13">
        <f t="shared" si="0"/>
        <v>0</v>
      </c>
    </row>
    <row r="14" spans="1:9" x14ac:dyDescent="0.25">
      <c r="A14" t="s">
        <v>44</v>
      </c>
      <c r="B14" s="2"/>
      <c r="C14" s="2"/>
      <c r="D14" s="2"/>
      <c r="E14" s="2"/>
      <c r="F14" s="2"/>
      <c r="G14" s="2"/>
      <c r="H14" s="2"/>
      <c r="I14">
        <f t="shared" si="0"/>
        <v>0</v>
      </c>
    </row>
    <row r="15" spans="1:9" x14ac:dyDescent="0.25">
      <c r="A15" t="s">
        <v>55</v>
      </c>
      <c r="B15" s="2"/>
      <c r="C15" s="2"/>
      <c r="D15" s="2"/>
      <c r="E15" s="2"/>
      <c r="F15" s="2"/>
      <c r="G15" s="2"/>
      <c r="H15" s="2"/>
      <c r="I15">
        <f t="shared" si="0"/>
        <v>0</v>
      </c>
    </row>
    <row r="17" spans="1:8" ht="15.75" x14ac:dyDescent="0.25">
      <c r="A17" s="4" t="s">
        <v>97</v>
      </c>
    </row>
    <row r="18" spans="1:8" x14ac:dyDescent="0.25">
      <c r="A18" t="s">
        <v>250</v>
      </c>
      <c r="B18" s="2"/>
      <c r="D18" t="s">
        <v>95</v>
      </c>
    </row>
    <row r="20" spans="1:8" ht="15.75" x14ac:dyDescent="0.25">
      <c r="A20" s="4" t="s">
        <v>166</v>
      </c>
    </row>
    <row r="21" spans="1:8" x14ac:dyDescent="0.25">
      <c r="A21" t="s">
        <v>68</v>
      </c>
      <c r="B21" s="2">
        <v>2500</v>
      </c>
      <c r="D21" t="s">
        <v>93</v>
      </c>
    </row>
    <row r="23" spans="1:8" ht="15.75" x14ac:dyDescent="0.25">
      <c r="A23" s="33" t="s">
        <v>254</v>
      </c>
    </row>
    <row r="27" spans="1:8" x14ac:dyDescent="0.25">
      <c r="A27" t="s">
        <v>94</v>
      </c>
    </row>
    <row r="29" spans="1:8" x14ac:dyDescent="0.25">
      <c r="A29" s="9" t="s">
        <v>62</v>
      </c>
      <c r="B29" s="10" t="s">
        <v>37</v>
      </c>
      <c r="C29" s="10" t="s">
        <v>39</v>
      </c>
      <c r="D29" s="10" t="s">
        <v>40</v>
      </c>
      <c r="E29" s="10" t="s">
        <v>87</v>
      </c>
      <c r="F29" s="10" t="s">
        <v>86</v>
      </c>
      <c r="G29" s="11" t="s">
        <v>88</v>
      </c>
      <c r="H29" s="11" t="s">
        <v>203</v>
      </c>
    </row>
    <row r="30" spans="1:8" x14ac:dyDescent="0.25">
      <c r="A30" s="16" t="s">
        <v>38</v>
      </c>
      <c r="B30" s="12">
        <v>291</v>
      </c>
      <c r="C30" s="12">
        <v>46.2</v>
      </c>
      <c r="D30" s="12">
        <v>86.24</v>
      </c>
      <c r="E30" s="12">
        <v>269.62</v>
      </c>
      <c r="F30" s="12">
        <v>1703.6</v>
      </c>
      <c r="G30" s="13">
        <v>314.19</v>
      </c>
      <c r="H30" s="13"/>
    </row>
    <row r="31" spans="1:8" x14ac:dyDescent="0.25">
      <c r="A31" s="16" t="s">
        <v>41</v>
      </c>
      <c r="B31" s="12">
        <v>220</v>
      </c>
      <c r="C31" s="12">
        <v>6.1</v>
      </c>
      <c r="D31" s="12">
        <v>12.31</v>
      </c>
      <c r="E31" s="12">
        <v>17.36</v>
      </c>
      <c r="F31" s="12">
        <v>1796</v>
      </c>
      <c r="G31" s="12">
        <v>76.38</v>
      </c>
      <c r="H31" s="12"/>
    </row>
    <row r="32" spans="1:8" x14ac:dyDescent="0.25">
      <c r="A32" s="16" t="s">
        <v>42</v>
      </c>
      <c r="B32" s="12">
        <v>238</v>
      </c>
      <c r="C32" s="12">
        <v>5.4</v>
      </c>
      <c r="D32" s="12">
        <v>9.8699999999999992</v>
      </c>
      <c r="E32" s="12">
        <v>12.22</v>
      </c>
      <c r="F32" s="12">
        <v>660</v>
      </c>
      <c r="G32" s="12">
        <v>48.7</v>
      </c>
      <c r="H32" s="12"/>
    </row>
    <row r="33" spans="1:9" x14ac:dyDescent="0.25">
      <c r="A33" s="16" t="s">
        <v>85</v>
      </c>
      <c r="B33" s="12">
        <v>294</v>
      </c>
      <c r="C33" s="12">
        <v>23.8</v>
      </c>
      <c r="D33" s="12">
        <v>39.72</v>
      </c>
      <c r="E33" s="12">
        <v>369.81</v>
      </c>
      <c r="F33" s="12">
        <v>1803</v>
      </c>
      <c r="G33" s="12">
        <v>97.13</v>
      </c>
      <c r="H33" s="12"/>
    </row>
    <row r="34" spans="1:9" x14ac:dyDescent="0.25">
      <c r="A34" s="16" t="s">
        <v>75</v>
      </c>
      <c r="B34" s="12">
        <v>128</v>
      </c>
      <c r="C34" s="12">
        <v>3.35</v>
      </c>
      <c r="D34" s="12">
        <v>13.63</v>
      </c>
      <c r="E34" s="12">
        <v>8.41</v>
      </c>
      <c r="F34" s="12">
        <v>3691</v>
      </c>
      <c r="G34" s="12">
        <v>235.12</v>
      </c>
      <c r="H34" s="12" t="s">
        <v>247</v>
      </c>
    </row>
    <row r="35" spans="1:9" x14ac:dyDescent="0.25">
      <c r="A35" s="16" t="s">
        <v>76</v>
      </c>
      <c r="B35" s="12">
        <v>120</v>
      </c>
      <c r="C35" s="12">
        <v>6.7</v>
      </c>
      <c r="D35" s="12">
        <v>26.87</v>
      </c>
      <c r="E35" s="12">
        <v>2.97</v>
      </c>
      <c r="F35" s="12">
        <v>3515</v>
      </c>
      <c r="G35" s="12">
        <v>227.22</v>
      </c>
      <c r="H35" s="12" t="s">
        <v>248</v>
      </c>
    </row>
    <row r="36" spans="1:9" x14ac:dyDescent="0.25">
      <c r="A36" s="16" t="s">
        <v>96</v>
      </c>
      <c r="B36" s="12">
        <v>364.28</v>
      </c>
      <c r="C36" s="12">
        <v>24</v>
      </c>
      <c r="D36" s="12">
        <v>23.88</v>
      </c>
      <c r="E36" s="12">
        <v>87.79</v>
      </c>
      <c r="F36" s="12">
        <v>5605</v>
      </c>
      <c r="G36" s="12">
        <v>98.37</v>
      </c>
      <c r="H36" s="12" t="s">
        <v>245</v>
      </c>
    </row>
    <row r="37" spans="1:9" x14ac:dyDescent="0.25">
      <c r="A37" s="17" t="s">
        <v>54</v>
      </c>
      <c r="B37" s="14" t="s">
        <v>45</v>
      </c>
      <c r="C37" s="14" t="s">
        <v>152</v>
      </c>
      <c r="D37" s="14" t="s">
        <v>83</v>
      </c>
      <c r="E37" s="14" t="s">
        <v>83</v>
      </c>
      <c r="F37" s="14" t="s">
        <v>83</v>
      </c>
      <c r="G37" s="15" t="s">
        <v>83</v>
      </c>
      <c r="H37" s="15"/>
    </row>
    <row r="38" spans="1:9" x14ac:dyDescent="0.25">
      <c r="A38" s="1"/>
    </row>
    <row r="39" spans="1:9" x14ac:dyDescent="0.25">
      <c r="A39" s="22" t="s">
        <v>100</v>
      </c>
      <c r="B39" s="22"/>
      <c r="C39" s="22">
        <v>0.41492000000000001</v>
      </c>
      <c r="E39" t="s">
        <v>244</v>
      </c>
    </row>
    <row r="42" spans="1:9" ht="21" x14ac:dyDescent="0.35">
      <c r="A42" s="6" t="s">
        <v>251</v>
      </c>
    </row>
    <row r="43" spans="1:9" x14ac:dyDescent="0.25">
      <c r="A43" t="s">
        <v>58</v>
      </c>
      <c r="B43" t="s">
        <v>59</v>
      </c>
      <c r="C43" t="s">
        <v>63</v>
      </c>
      <c r="D43" t="s">
        <v>64</v>
      </c>
      <c r="E43" t="s">
        <v>60</v>
      </c>
      <c r="F43" t="s">
        <v>61</v>
      </c>
      <c r="G43" t="s">
        <v>90</v>
      </c>
      <c r="H43" t="s">
        <v>89</v>
      </c>
      <c r="I43" t="s">
        <v>265</v>
      </c>
    </row>
    <row r="44" spans="1:9" x14ac:dyDescent="0.25">
      <c r="A44" t="s">
        <v>38</v>
      </c>
      <c r="B44" s="18">
        <f t="shared" ref="B44:B49" si="1">C44*B30*10</f>
        <v>0</v>
      </c>
      <c r="C44" s="19">
        <f>I10/7</f>
        <v>0</v>
      </c>
      <c r="D44" s="18">
        <f>C44*365</f>
        <v>0</v>
      </c>
      <c r="E44" s="18">
        <f t="shared" ref="E44:E49" si="2">D44*C30</f>
        <v>0</v>
      </c>
      <c r="F44" s="18">
        <f t="shared" ref="F44:F49" si="3">D44*D30</f>
        <v>0</v>
      </c>
      <c r="G44" s="18">
        <f t="shared" ref="G44:G49" si="4">D44*E30</f>
        <v>0</v>
      </c>
      <c r="H44" s="18">
        <f t="shared" ref="H44:H49" si="5">D44*F30</f>
        <v>0</v>
      </c>
      <c r="I44" s="19">
        <f t="shared" ref="I44:I49" si="6">D44*G30/1000</f>
        <v>0</v>
      </c>
    </row>
    <row r="45" spans="1:9" x14ac:dyDescent="0.25">
      <c r="A45" t="s">
        <v>41</v>
      </c>
      <c r="B45" s="18">
        <f t="shared" si="1"/>
        <v>0</v>
      </c>
      <c r="C45" s="19">
        <f t="shared" ref="C45:C49" si="7">I11/7</f>
        <v>0</v>
      </c>
      <c r="D45" s="18">
        <f t="shared" ref="D45:D49" si="8">C45*365</f>
        <v>0</v>
      </c>
      <c r="E45" s="18">
        <f t="shared" si="2"/>
        <v>0</v>
      </c>
      <c r="F45" s="18">
        <f t="shared" si="3"/>
        <v>0</v>
      </c>
      <c r="G45" s="18">
        <f t="shared" si="4"/>
        <v>0</v>
      </c>
      <c r="H45" s="18">
        <f t="shared" si="5"/>
        <v>0</v>
      </c>
      <c r="I45" s="19">
        <f t="shared" si="6"/>
        <v>0</v>
      </c>
    </row>
    <row r="46" spans="1:9" x14ac:dyDescent="0.25">
      <c r="A46" t="s">
        <v>42</v>
      </c>
      <c r="B46" s="18">
        <f t="shared" si="1"/>
        <v>0</v>
      </c>
      <c r="C46" s="19">
        <f t="shared" si="7"/>
        <v>0</v>
      </c>
      <c r="D46" s="18">
        <f t="shared" si="8"/>
        <v>0</v>
      </c>
      <c r="E46" s="18">
        <f t="shared" si="2"/>
        <v>0</v>
      </c>
      <c r="F46" s="18">
        <f t="shared" si="3"/>
        <v>0</v>
      </c>
      <c r="G46" s="18">
        <f t="shared" si="4"/>
        <v>0</v>
      </c>
      <c r="H46" s="18">
        <f t="shared" si="5"/>
        <v>0</v>
      </c>
      <c r="I46" s="19">
        <f t="shared" si="6"/>
        <v>0</v>
      </c>
    </row>
    <row r="47" spans="1:9" x14ac:dyDescent="0.25">
      <c r="A47" t="s">
        <v>43</v>
      </c>
      <c r="B47" s="18">
        <f t="shared" si="1"/>
        <v>0</v>
      </c>
      <c r="C47" s="19">
        <f t="shared" si="7"/>
        <v>0</v>
      </c>
      <c r="D47" s="18">
        <f t="shared" si="8"/>
        <v>0</v>
      </c>
      <c r="E47" s="18">
        <f t="shared" si="2"/>
        <v>0</v>
      </c>
      <c r="F47" s="18">
        <f t="shared" si="3"/>
        <v>0</v>
      </c>
      <c r="G47" s="18">
        <f t="shared" si="4"/>
        <v>0</v>
      </c>
      <c r="H47" s="18">
        <f t="shared" si="5"/>
        <v>0</v>
      </c>
      <c r="I47" s="19">
        <f t="shared" si="6"/>
        <v>0</v>
      </c>
    </row>
    <row r="48" spans="1:9" x14ac:dyDescent="0.25">
      <c r="A48" t="s">
        <v>44</v>
      </c>
      <c r="B48" s="18">
        <f t="shared" si="1"/>
        <v>0</v>
      </c>
      <c r="C48" s="19">
        <f t="shared" si="7"/>
        <v>0</v>
      </c>
      <c r="D48" s="18">
        <f t="shared" si="8"/>
        <v>0</v>
      </c>
      <c r="E48" s="18">
        <f>D48*C34</f>
        <v>0</v>
      </c>
      <c r="F48" s="18">
        <f t="shared" si="3"/>
        <v>0</v>
      </c>
      <c r="G48" s="18">
        <f t="shared" si="4"/>
        <v>0</v>
      </c>
      <c r="H48" s="18">
        <f t="shared" si="5"/>
        <v>0</v>
      </c>
      <c r="I48" s="19">
        <f t="shared" si="6"/>
        <v>0</v>
      </c>
    </row>
    <row r="49" spans="1:9" x14ac:dyDescent="0.25">
      <c r="A49" t="s">
        <v>55</v>
      </c>
      <c r="B49" s="18">
        <f t="shared" si="1"/>
        <v>0</v>
      </c>
      <c r="C49" s="19">
        <f t="shared" si="7"/>
        <v>0</v>
      </c>
      <c r="D49" s="18">
        <f t="shared" si="8"/>
        <v>0</v>
      </c>
      <c r="E49" s="18">
        <f t="shared" si="2"/>
        <v>0</v>
      </c>
      <c r="F49" s="18">
        <f t="shared" si="3"/>
        <v>0</v>
      </c>
      <c r="G49" s="18">
        <f t="shared" si="4"/>
        <v>0</v>
      </c>
      <c r="H49" s="18">
        <f t="shared" si="5"/>
        <v>0</v>
      </c>
      <c r="I49" s="19">
        <f t="shared" si="6"/>
        <v>0</v>
      </c>
    </row>
    <row r="50" spans="1:9" x14ac:dyDescent="0.25">
      <c r="A50" s="1" t="s">
        <v>65</v>
      </c>
      <c r="B50" s="18">
        <f>SUM(B44:B49)</f>
        <v>0</v>
      </c>
      <c r="C50" s="19">
        <f>SUM(C44:C49)</f>
        <v>0</v>
      </c>
      <c r="D50" s="18">
        <f t="shared" ref="D50" si="9">SUM(D44:D49)</f>
        <v>0</v>
      </c>
      <c r="E50" s="18">
        <f t="shared" ref="E50" si="10">SUM(E44:E49)</f>
        <v>0</v>
      </c>
      <c r="F50" s="18">
        <f t="shared" ref="F50" si="11">SUM(F44:F49)</f>
        <v>0</v>
      </c>
      <c r="G50" s="18">
        <f t="shared" ref="G50" si="12">SUM(G44:G49)</f>
        <v>0</v>
      </c>
      <c r="H50" s="18">
        <f t="shared" ref="H50" si="13">SUM(H44:H49)</f>
        <v>0</v>
      </c>
      <c r="I50" s="19">
        <f t="shared" ref="I50" si="14">SUM(I44:I49)</f>
        <v>0</v>
      </c>
    </row>
    <row r="51" spans="1:9" x14ac:dyDescent="0.25">
      <c r="A51" t="s">
        <v>98</v>
      </c>
      <c r="B51" s="18">
        <f>B18*102</f>
        <v>0</v>
      </c>
      <c r="C51" s="19">
        <f>B18*28/1000</f>
        <v>0</v>
      </c>
      <c r="D51" s="18">
        <f>C51*365</f>
        <v>0</v>
      </c>
      <c r="E51" s="18">
        <f>D51*C36</f>
        <v>0</v>
      </c>
      <c r="F51" s="18">
        <f>D51*D36</f>
        <v>0</v>
      </c>
      <c r="G51" s="18">
        <f>D51*E36</f>
        <v>0</v>
      </c>
      <c r="H51" s="18">
        <f>D51*F36</f>
        <v>0</v>
      </c>
      <c r="I51" s="19">
        <f>C51*G36/1000</f>
        <v>0</v>
      </c>
    </row>
    <row r="52" spans="1:9" x14ac:dyDescent="0.25">
      <c r="A52" s="1" t="s">
        <v>99</v>
      </c>
      <c r="B52" s="18">
        <f>B50+B51</f>
        <v>0</v>
      </c>
      <c r="C52" s="19">
        <f t="shared" ref="C52:I52" si="15">C50+C51</f>
        <v>0</v>
      </c>
      <c r="D52" s="18">
        <f t="shared" si="15"/>
        <v>0</v>
      </c>
      <c r="E52" s="18">
        <f t="shared" si="15"/>
        <v>0</v>
      </c>
      <c r="F52" s="18">
        <f t="shared" si="15"/>
        <v>0</v>
      </c>
      <c r="G52" s="18">
        <f t="shared" si="15"/>
        <v>0</v>
      </c>
      <c r="H52" s="18">
        <f t="shared" si="15"/>
        <v>0</v>
      </c>
      <c r="I52" s="19">
        <f t="shared" si="15"/>
        <v>0</v>
      </c>
    </row>
    <row r="53" spans="1:9" x14ac:dyDescent="0.25">
      <c r="A53" s="1" t="s">
        <v>183</v>
      </c>
      <c r="B53" s="18">
        <f>B21-B52</f>
        <v>2500</v>
      </c>
      <c r="C53" s="18"/>
      <c r="D53" s="18"/>
      <c r="E53" s="18">
        <f>C39*B53</f>
        <v>1037.3</v>
      </c>
      <c r="F53" s="18">
        <f>C39*B53</f>
        <v>1037.3</v>
      </c>
      <c r="G53" s="18"/>
      <c r="H53" s="18"/>
      <c r="I53" s="19"/>
    </row>
    <row r="54" spans="1:9" x14ac:dyDescent="0.25">
      <c r="A54" s="1" t="s">
        <v>266</v>
      </c>
      <c r="B54" s="35">
        <f>B52+B53</f>
        <v>2500</v>
      </c>
      <c r="C54" s="35"/>
      <c r="D54" s="35"/>
      <c r="E54" s="35">
        <f>E52+E53</f>
        <v>1037.3</v>
      </c>
      <c r="F54" s="35">
        <f>F52+F53</f>
        <v>1037.3</v>
      </c>
      <c r="G54" s="35">
        <f>G52</f>
        <v>0</v>
      </c>
      <c r="H54" s="35">
        <f>H52</f>
        <v>0</v>
      </c>
      <c r="I54" s="36">
        <f>I52</f>
        <v>0</v>
      </c>
    </row>
    <row r="55" spans="1:9" x14ac:dyDescent="0.25">
      <c r="A55" s="1" t="s">
        <v>267</v>
      </c>
      <c r="B55" s="35">
        <f>B54*1.3</f>
        <v>3250</v>
      </c>
      <c r="C55" s="35"/>
      <c r="D55" s="35"/>
      <c r="E55" s="35">
        <f>E54*1.3</f>
        <v>1348.49</v>
      </c>
      <c r="F55" s="35">
        <f>F54*1.3</f>
        <v>1348.49</v>
      </c>
      <c r="G55" s="35">
        <f>G54*1.3</f>
        <v>0</v>
      </c>
      <c r="H55" s="35">
        <f>H54*1.3</f>
        <v>0</v>
      </c>
      <c r="I55" s="36">
        <f>I54*1.3</f>
        <v>0</v>
      </c>
    </row>
    <row r="59" spans="1:9" ht="15.75" x14ac:dyDescent="0.25">
      <c r="A59" s="4" t="s">
        <v>184</v>
      </c>
    </row>
    <row r="60" spans="1:9" x14ac:dyDescent="0.25">
      <c r="A60" t="s">
        <v>218</v>
      </c>
      <c r="B60" s="30" t="s">
        <v>257</v>
      </c>
      <c r="C60" s="30" t="s">
        <v>258</v>
      </c>
      <c r="D60" s="30" t="s">
        <v>259</v>
      </c>
      <c r="E60" s="30" t="s">
        <v>260</v>
      </c>
      <c r="F60" s="30" t="s">
        <v>261</v>
      </c>
      <c r="G60" s="30" t="s">
        <v>262</v>
      </c>
      <c r="H60" s="30" t="s">
        <v>263</v>
      </c>
      <c r="I60" s="30" t="s">
        <v>264</v>
      </c>
    </row>
    <row r="61" spans="1:9" x14ac:dyDescent="0.25">
      <c r="A61" t="s">
        <v>181</v>
      </c>
      <c r="B61" s="2"/>
      <c r="C61" s="2"/>
      <c r="D61" s="2"/>
      <c r="E61" s="2"/>
      <c r="F61" s="2"/>
      <c r="G61" s="2"/>
      <c r="H61" s="2"/>
      <c r="I61" s="2"/>
    </row>
    <row r="62" spans="1:9" x14ac:dyDescent="0.25">
      <c r="A62" t="s">
        <v>182</v>
      </c>
      <c r="B62" s="2">
        <v>1</v>
      </c>
      <c r="C62" s="2"/>
      <c r="D62" s="2"/>
      <c r="E62" s="2"/>
      <c r="F62" s="2"/>
      <c r="G62" s="2"/>
      <c r="H62" s="2"/>
      <c r="I62" s="2"/>
    </row>
    <row r="63" spans="1:9" x14ac:dyDescent="0.25">
      <c r="A63" s="1" t="s">
        <v>268</v>
      </c>
      <c r="B63" s="41">
        <f t="shared" ref="B63" si="16">SUM(B62:I62)</f>
        <v>1</v>
      </c>
      <c r="C63" s="43"/>
      <c r="D63" s="43"/>
      <c r="E63" s="43"/>
      <c r="F63" s="43"/>
      <c r="G63" s="43"/>
      <c r="H63" s="43"/>
      <c r="I63" s="43"/>
    </row>
    <row r="64" spans="1:9" x14ac:dyDescent="0.25">
      <c r="A64" s="46" t="s">
        <v>269</v>
      </c>
      <c r="B64" s="45"/>
      <c r="C64" s="42"/>
      <c r="D64" s="44"/>
      <c r="E64" s="44"/>
      <c r="F64" s="44"/>
      <c r="G64" s="44"/>
      <c r="H64" s="44"/>
      <c r="I64" s="44"/>
    </row>
    <row r="65" spans="1:9" x14ac:dyDescent="0.25">
      <c r="A65" s="37" t="s">
        <v>270</v>
      </c>
      <c r="B65" s="37"/>
      <c r="C65" s="37"/>
      <c r="D65" s="37"/>
      <c r="E65" s="37" t="s">
        <v>60</v>
      </c>
      <c r="F65" s="37" t="s">
        <v>61</v>
      </c>
      <c r="G65" s="37" t="s">
        <v>90</v>
      </c>
      <c r="H65" s="37" t="s">
        <v>89</v>
      </c>
      <c r="I65" s="37" t="s">
        <v>265</v>
      </c>
    </row>
    <row r="66" spans="1:9" x14ac:dyDescent="0.25">
      <c r="A66" s="38" t="s">
        <v>274</v>
      </c>
      <c r="B66" s="38"/>
      <c r="C66" s="38"/>
      <c r="D66" s="38"/>
      <c r="E66" s="39">
        <f>B63*E54</f>
        <v>1037.3</v>
      </c>
      <c r="F66" s="39">
        <f>B63*F54</f>
        <v>1037.3</v>
      </c>
      <c r="G66" s="39">
        <f>B63*G54</f>
        <v>0</v>
      </c>
      <c r="H66" s="39">
        <f>B63*H54</f>
        <v>0</v>
      </c>
      <c r="I66" s="39">
        <f>B63*I54</f>
        <v>0</v>
      </c>
    </row>
    <row r="67" spans="1:9" x14ac:dyDescent="0.25">
      <c r="A67" s="1"/>
    </row>
    <row r="68" spans="1:9" ht="18.75" x14ac:dyDescent="0.3">
      <c r="A68" s="5" t="s">
        <v>67</v>
      </c>
    </row>
    <row r="69" spans="1:9" x14ac:dyDescent="0.25">
      <c r="A69" t="s">
        <v>255</v>
      </c>
      <c r="E69" s="40"/>
    </row>
    <row r="70" spans="1:9" x14ac:dyDescent="0.25">
      <c r="A70" t="s">
        <v>91</v>
      </c>
    </row>
    <row r="71" spans="1:9" x14ac:dyDescent="0.25">
      <c r="A71" t="s">
        <v>74</v>
      </c>
    </row>
    <row r="72" spans="1:9" x14ac:dyDescent="0.25">
      <c r="A72" t="s">
        <v>256</v>
      </c>
    </row>
    <row r="73" spans="1:9" x14ac:dyDescent="0.25">
      <c r="A73" t="s">
        <v>277</v>
      </c>
    </row>
    <row r="74" spans="1:9" x14ac:dyDescent="0.25">
      <c r="A74" t="s">
        <v>275</v>
      </c>
    </row>
    <row r="76" spans="1:9" ht="18.75" x14ac:dyDescent="0.3">
      <c r="A76" s="5" t="s">
        <v>73</v>
      </c>
    </row>
    <row r="77" spans="1:9" x14ac:dyDescent="0.25">
      <c r="A77" t="s">
        <v>276</v>
      </c>
    </row>
    <row r="80" spans="1:9" ht="18.75" x14ac:dyDescent="0.3">
      <c r="A80" s="5" t="s">
        <v>81</v>
      </c>
    </row>
    <row r="81" spans="1:1" x14ac:dyDescent="0.25">
      <c r="A81" t="s">
        <v>243</v>
      </c>
    </row>
    <row r="82" spans="1:1" x14ac:dyDescent="0.25">
      <c r="A82" t="s">
        <v>82</v>
      </c>
    </row>
    <row r="83" spans="1:1" x14ac:dyDescent="0.25">
      <c r="A83" t="s">
        <v>92</v>
      </c>
    </row>
    <row r="84" spans="1:1" x14ac:dyDescent="0.25">
      <c r="A84" t="s">
        <v>149</v>
      </c>
    </row>
    <row r="85" spans="1:1" x14ac:dyDescent="0.25">
      <c r="A85" s="34" t="s">
        <v>249</v>
      </c>
    </row>
    <row r="86" spans="1:1" x14ac:dyDescent="0.25">
      <c r="A86" s="34" t="s">
        <v>246</v>
      </c>
    </row>
  </sheetData>
  <phoneticPr fontId="15" type="noConversion"/>
  <pageMargins left="0.7" right="0.7" top="0.75" bottom="0.75" header="0.3" footer="0.3"/>
  <tableParts count="4">
    <tablePart r:id="rId1"/>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39B9B-5169-466A-AF65-FD65270CEC57}">
  <dimension ref="A1:N36"/>
  <sheetViews>
    <sheetView workbookViewId="0">
      <selection activeCell="A29" sqref="A29"/>
    </sheetView>
  </sheetViews>
  <sheetFormatPr defaultRowHeight="15" x14ac:dyDescent="0.25"/>
  <cols>
    <col min="1" max="1" width="59" customWidth="1"/>
    <col min="2" max="2" width="11.42578125" customWidth="1"/>
    <col min="13" max="13" width="12.7109375" customWidth="1"/>
    <col min="14" max="14" width="11.85546875" customWidth="1"/>
  </cols>
  <sheetData>
    <row r="1" spans="1:14" ht="24" x14ac:dyDescent="0.4">
      <c r="A1" s="7" t="s">
        <v>180</v>
      </c>
    </row>
    <row r="3" spans="1:14" ht="15.75" x14ac:dyDescent="0.25">
      <c r="A3" s="4" t="s">
        <v>77</v>
      </c>
    </row>
    <row r="4" spans="1:14" ht="15.75" x14ac:dyDescent="0.25">
      <c r="A4" s="4" t="s">
        <v>78</v>
      </c>
    </row>
    <row r="5" spans="1:14" x14ac:dyDescent="0.25">
      <c r="A5" t="s">
        <v>79</v>
      </c>
    </row>
    <row r="7" spans="1:14" x14ac:dyDescent="0.25">
      <c r="A7" s="1" t="s">
        <v>0</v>
      </c>
      <c r="B7" t="s">
        <v>13</v>
      </c>
      <c r="C7" t="s">
        <v>14</v>
      </c>
      <c r="D7" t="s">
        <v>15</v>
      </c>
      <c r="E7" t="s">
        <v>16</v>
      </c>
      <c r="F7" t="s">
        <v>17</v>
      </c>
      <c r="G7" t="s">
        <v>18</v>
      </c>
      <c r="H7" t="s">
        <v>19</v>
      </c>
      <c r="I7" t="s">
        <v>20</v>
      </c>
      <c r="J7" t="s">
        <v>21</v>
      </c>
      <c r="K7" t="s">
        <v>22</v>
      </c>
      <c r="L7" t="s">
        <v>23</v>
      </c>
      <c r="M7" t="s">
        <v>24</v>
      </c>
      <c r="N7" t="s">
        <v>25</v>
      </c>
    </row>
    <row r="8" spans="1:14" x14ac:dyDescent="0.25">
      <c r="A8" t="s">
        <v>1</v>
      </c>
      <c r="B8" s="2">
        <v>0.307842</v>
      </c>
      <c r="C8" s="2"/>
      <c r="D8" s="2"/>
      <c r="E8" s="2"/>
      <c r="F8" s="2"/>
      <c r="G8" s="2"/>
      <c r="H8" s="2"/>
      <c r="I8" s="2"/>
      <c r="J8" s="2"/>
      <c r="K8" s="2"/>
      <c r="L8" s="2"/>
      <c r="M8">
        <f t="shared" ref="M8:M19" si="0">SUM(E8:L8)+Multiplier1*C8+Multiplier2*D8</f>
        <v>0</v>
      </c>
      <c r="N8">
        <f t="shared" ref="N8:N19" si="1">M8*B8</f>
        <v>0</v>
      </c>
    </row>
    <row r="9" spans="1:14" x14ac:dyDescent="0.25">
      <c r="A9" t="s">
        <v>2</v>
      </c>
      <c r="B9">
        <v>0.40795799999999999</v>
      </c>
      <c r="C9" s="2"/>
      <c r="D9" s="2"/>
      <c r="E9" s="2"/>
      <c r="F9" s="2"/>
      <c r="G9" s="2"/>
      <c r="H9" s="2"/>
      <c r="I9" s="2"/>
      <c r="J9" s="2"/>
      <c r="K9" s="2"/>
      <c r="L9" s="2"/>
      <c r="M9">
        <f t="shared" si="0"/>
        <v>0</v>
      </c>
      <c r="N9">
        <f t="shared" si="1"/>
        <v>0</v>
      </c>
    </row>
    <row r="10" spans="1:14" x14ac:dyDescent="0.25">
      <c r="A10" t="s">
        <v>3</v>
      </c>
      <c r="B10">
        <v>0.38358300000000001</v>
      </c>
      <c r="C10" s="2"/>
      <c r="D10" s="2"/>
      <c r="E10" s="2"/>
      <c r="F10" s="2"/>
      <c r="G10" s="2"/>
      <c r="H10" s="2"/>
      <c r="I10" s="2"/>
      <c r="J10" s="2"/>
      <c r="K10" s="2"/>
      <c r="L10" s="2"/>
      <c r="M10">
        <f t="shared" si="0"/>
        <v>0</v>
      </c>
      <c r="N10">
        <f t="shared" si="1"/>
        <v>0</v>
      </c>
    </row>
    <row r="11" spans="1:14" x14ac:dyDescent="0.25">
      <c r="A11" t="s">
        <v>4</v>
      </c>
      <c r="B11">
        <v>5.8339500000000002E-2</v>
      </c>
      <c r="C11" s="2"/>
      <c r="D11" s="2"/>
      <c r="E11" s="2"/>
      <c r="F11" s="2"/>
      <c r="G11" s="2"/>
      <c r="H11" s="2"/>
      <c r="I11" s="2"/>
      <c r="J11" s="2"/>
      <c r="K11" s="2"/>
      <c r="L11" s="2"/>
      <c r="M11">
        <f t="shared" si="0"/>
        <v>0</v>
      </c>
      <c r="N11">
        <f t="shared" si="1"/>
        <v>0</v>
      </c>
    </row>
    <row r="12" spans="1:14" x14ac:dyDescent="0.25">
      <c r="A12" t="s">
        <v>5</v>
      </c>
      <c r="B12">
        <v>0.15133459999999999</v>
      </c>
      <c r="C12" s="2"/>
      <c r="D12" s="2"/>
      <c r="E12" s="2"/>
      <c r="F12" s="2"/>
      <c r="G12" s="2"/>
      <c r="H12" s="2"/>
      <c r="I12" s="2"/>
      <c r="J12" s="2"/>
      <c r="K12" s="2"/>
      <c r="L12" s="2"/>
      <c r="M12">
        <f t="shared" si="0"/>
        <v>0</v>
      </c>
      <c r="N12">
        <f t="shared" si="1"/>
        <v>0</v>
      </c>
    </row>
    <row r="13" spans="1:14" x14ac:dyDescent="0.25">
      <c r="A13" t="s">
        <v>6</v>
      </c>
      <c r="B13">
        <v>0.1139466</v>
      </c>
      <c r="C13" s="2"/>
      <c r="D13" s="2"/>
      <c r="E13" s="2"/>
      <c r="F13" s="2"/>
      <c r="G13" s="2"/>
      <c r="H13" s="2"/>
      <c r="I13" s="2"/>
      <c r="J13" s="2"/>
      <c r="K13" s="2"/>
      <c r="L13" s="2"/>
      <c r="M13">
        <f t="shared" si="0"/>
        <v>0</v>
      </c>
      <c r="N13">
        <f t="shared" si="1"/>
        <v>0</v>
      </c>
    </row>
    <row r="14" spans="1:14" x14ac:dyDescent="0.25">
      <c r="A14" t="s">
        <v>7</v>
      </c>
      <c r="B14">
        <v>0.13398299999999999</v>
      </c>
      <c r="C14" s="2"/>
      <c r="D14" s="2"/>
      <c r="E14" s="2"/>
      <c r="F14" s="2"/>
      <c r="G14" s="2"/>
      <c r="H14" s="2"/>
      <c r="I14" s="2"/>
      <c r="J14" s="2"/>
      <c r="K14" s="2"/>
      <c r="L14" s="2"/>
      <c r="M14">
        <f t="shared" si="0"/>
        <v>0</v>
      </c>
      <c r="N14">
        <f t="shared" si="1"/>
        <v>0</v>
      </c>
    </row>
    <row r="15" spans="1:14" x14ac:dyDescent="0.25">
      <c r="A15" t="s">
        <v>8</v>
      </c>
      <c r="B15">
        <v>9.3474999999999989E-2</v>
      </c>
      <c r="C15" s="2"/>
      <c r="D15" s="2"/>
      <c r="E15" s="2"/>
      <c r="F15" s="2"/>
      <c r="G15" s="2"/>
      <c r="H15" s="2"/>
      <c r="I15" s="2"/>
      <c r="J15" s="2"/>
      <c r="K15" s="2"/>
      <c r="L15" s="2"/>
      <c r="M15">
        <f t="shared" si="0"/>
        <v>0</v>
      </c>
      <c r="N15">
        <f t="shared" si="1"/>
        <v>0</v>
      </c>
    </row>
    <row r="16" spans="1:14" x14ac:dyDescent="0.25">
      <c r="A16" t="s">
        <v>9</v>
      </c>
      <c r="B16">
        <v>7.1696499999999996E-2</v>
      </c>
      <c r="C16" s="2"/>
      <c r="D16" s="2"/>
      <c r="E16" s="2"/>
      <c r="F16" s="2"/>
      <c r="G16" s="2"/>
      <c r="H16" s="2"/>
      <c r="I16" s="2"/>
      <c r="J16" s="2"/>
      <c r="K16" s="2"/>
      <c r="L16" s="2"/>
      <c r="M16">
        <f t="shared" si="0"/>
        <v>0</v>
      </c>
      <c r="N16">
        <f t="shared" si="1"/>
        <v>0</v>
      </c>
    </row>
    <row r="17" spans="1:14" x14ac:dyDescent="0.25">
      <c r="A17" t="s">
        <v>10</v>
      </c>
      <c r="B17">
        <v>0.20892820000000001</v>
      </c>
      <c r="C17" s="2"/>
      <c r="D17" s="2"/>
      <c r="E17" s="2"/>
      <c r="F17" s="2"/>
      <c r="G17" s="2"/>
      <c r="H17" s="2"/>
      <c r="I17" s="2"/>
      <c r="J17" s="2"/>
      <c r="K17" s="2"/>
      <c r="L17" s="2"/>
      <c r="M17">
        <f t="shared" si="0"/>
        <v>0</v>
      </c>
      <c r="N17">
        <f t="shared" si="1"/>
        <v>0</v>
      </c>
    </row>
    <row r="18" spans="1:14" x14ac:dyDescent="0.25">
      <c r="A18" t="s">
        <v>11</v>
      </c>
      <c r="B18">
        <v>0.13010329999999998</v>
      </c>
      <c r="C18" s="2"/>
      <c r="D18" s="2"/>
      <c r="E18" s="2"/>
      <c r="F18" s="2"/>
      <c r="G18" s="2"/>
      <c r="H18" s="2"/>
      <c r="I18" s="2"/>
      <c r="J18" s="2"/>
      <c r="K18" s="2"/>
      <c r="L18" s="2"/>
      <c r="M18">
        <f t="shared" si="0"/>
        <v>0</v>
      </c>
      <c r="N18">
        <f t="shared" si="1"/>
        <v>0</v>
      </c>
    </row>
    <row r="19" spans="1:14" x14ac:dyDescent="0.25">
      <c r="A19" t="s">
        <v>12</v>
      </c>
      <c r="B19">
        <v>0.16439479999999998</v>
      </c>
      <c r="C19" s="2"/>
      <c r="D19" s="2"/>
      <c r="E19" s="2"/>
      <c r="F19" s="2"/>
      <c r="G19" s="2"/>
      <c r="H19" s="2"/>
      <c r="I19" s="2"/>
      <c r="J19" s="2"/>
      <c r="K19" s="2"/>
      <c r="L19" s="2"/>
      <c r="M19">
        <f t="shared" si="0"/>
        <v>0</v>
      </c>
      <c r="N19">
        <f t="shared" si="1"/>
        <v>0</v>
      </c>
    </row>
    <row r="20" spans="1:14" x14ac:dyDescent="0.25">
      <c r="A20" s="3" t="s">
        <v>35</v>
      </c>
      <c r="B20" s="1" t="s">
        <v>177</v>
      </c>
      <c r="C20" s="25">
        <v>1</v>
      </c>
      <c r="D20" s="25">
        <v>1</v>
      </c>
      <c r="M20" s="3">
        <f>SUM(M8:M19)</f>
        <v>0</v>
      </c>
      <c r="N20" s="3">
        <f>SUM(N8:N19)</f>
        <v>0</v>
      </c>
    </row>
    <row r="22" spans="1:14" ht="15.75" x14ac:dyDescent="0.25">
      <c r="A22" s="4" t="s">
        <v>178</v>
      </c>
    </row>
    <row r="23" spans="1:14" ht="15.75" x14ac:dyDescent="0.25">
      <c r="A23" s="33"/>
    </row>
    <row r="24" spans="1:14" ht="15.75" x14ac:dyDescent="0.25">
      <c r="A24" s="4" t="s">
        <v>241</v>
      </c>
    </row>
    <row r="25" spans="1:14" x14ac:dyDescent="0.25">
      <c r="A25" t="s">
        <v>242</v>
      </c>
    </row>
    <row r="28" spans="1:14" x14ac:dyDescent="0.25">
      <c r="A28" s="1" t="s">
        <v>73</v>
      </c>
    </row>
    <row r="29" spans="1:14" x14ac:dyDescent="0.25">
      <c r="A29" t="s">
        <v>179</v>
      </c>
    </row>
    <row r="30" spans="1:14" x14ac:dyDescent="0.25">
      <c r="A30" t="s">
        <v>80</v>
      </c>
    </row>
    <row r="35" spans="1:1" x14ac:dyDescent="0.25">
      <c r="A35" s="1" t="s">
        <v>81</v>
      </c>
    </row>
    <row r="36" spans="1:1" x14ac:dyDescent="0.25">
      <c r="A36" t="s">
        <v>151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256AC-439C-46C3-8D05-B9474A0806E3}">
  <dimension ref="A1:D52"/>
  <sheetViews>
    <sheetView topLeftCell="A4" zoomScale="97" workbookViewId="0">
      <selection activeCell="A18" sqref="A18"/>
    </sheetView>
  </sheetViews>
  <sheetFormatPr defaultRowHeight="15" x14ac:dyDescent="0.25"/>
  <cols>
    <col min="1" max="1" width="47.85546875" customWidth="1"/>
    <col min="2" max="2" width="19.5703125" customWidth="1"/>
    <col min="3" max="3" width="18.5703125" customWidth="1"/>
    <col min="4" max="4" width="78.7109375" customWidth="1"/>
  </cols>
  <sheetData>
    <row r="1" spans="1:4" ht="26.25" x14ac:dyDescent="0.4">
      <c r="A1" s="8" t="s">
        <v>170</v>
      </c>
    </row>
    <row r="2" spans="1:4" x14ac:dyDescent="0.25">
      <c r="A2" s="1" t="s">
        <v>77</v>
      </c>
    </row>
    <row r="4" spans="1:4" ht="18.75" x14ac:dyDescent="0.3">
      <c r="A4" s="5" t="s">
        <v>202</v>
      </c>
      <c r="C4" s="2">
        <v>1</v>
      </c>
      <c r="D4" t="s">
        <v>214</v>
      </c>
    </row>
    <row r="5" spans="1:4" ht="18.75" x14ac:dyDescent="0.3">
      <c r="A5" s="5" t="s">
        <v>215</v>
      </c>
    </row>
    <row r="7" spans="1:4" ht="21" x14ac:dyDescent="0.35">
      <c r="A7" s="6" t="s">
        <v>198</v>
      </c>
    </row>
    <row r="8" spans="1:4" ht="18.75" x14ac:dyDescent="0.3">
      <c r="A8" s="23" t="s">
        <v>198</v>
      </c>
      <c r="B8" s="23" t="s">
        <v>167</v>
      </c>
      <c r="C8" s="23" t="s">
        <v>168</v>
      </c>
      <c r="D8" s="23" t="s">
        <v>203</v>
      </c>
    </row>
    <row r="9" spans="1:4" ht="18.75" x14ac:dyDescent="0.3">
      <c r="A9" s="23" t="s">
        <v>197</v>
      </c>
      <c r="B9" s="23">
        <f>Utilities!B32</f>
        <v>0</v>
      </c>
      <c r="C9" s="23">
        <f>B9/C4</f>
        <v>0</v>
      </c>
      <c r="D9" s="23" t="s">
        <v>204</v>
      </c>
    </row>
    <row r="10" spans="1:4" ht="18.75" x14ac:dyDescent="0.3">
      <c r="A10" s="23" t="s">
        <v>199</v>
      </c>
      <c r="B10" s="23">
        <f>Utilities!J32</f>
        <v>0</v>
      </c>
      <c r="C10" s="23">
        <f>B10/C4</f>
        <v>0</v>
      </c>
      <c r="D10" s="23" t="s">
        <v>204</v>
      </c>
    </row>
    <row r="11" spans="1:4" ht="18.75" x14ac:dyDescent="0.3">
      <c r="A11" s="23" t="s">
        <v>66</v>
      </c>
      <c r="B11" s="23">
        <f>Diet!F66</f>
        <v>1037.3</v>
      </c>
      <c r="C11" s="23">
        <f>Diet!F54</f>
        <v>1037.3</v>
      </c>
      <c r="D11" s="23" t="s">
        <v>221</v>
      </c>
    </row>
    <row r="12" spans="1:4" ht="18.75" x14ac:dyDescent="0.3">
      <c r="A12" s="23" t="s">
        <v>200</v>
      </c>
      <c r="B12" s="23">
        <f>Vehicle!B30</f>
        <v>0</v>
      </c>
      <c r="C12" s="23">
        <f>Vehicle!B30</f>
        <v>0</v>
      </c>
      <c r="D12" s="23" t="s">
        <v>205</v>
      </c>
    </row>
    <row r="13" spans="1:4" ht="18.75" x14ac:dyDescent="0.3">
      <c r="A13" s="23" t="s">
        <v>201</v>
      </c>
      <c r="B13" s="23">
        <f>Travel!N20</f>
        <v>0</v>
      </c>
      <c r="C13" s="23">
        <f>Travel!N20</f>
        <v>0</v>
      </c>
      <c r="D13" s="23" t="s">
        <v>205</v>
      </c>
    </row>
    <row r="14" spans="1:4" ht="18.75" x14ac:dyDescent="0.3">
      <c r="A14" s="5" t="s">
        <v>226</v>
      </c>
      <c r="B14" s="23">
        <f>SUM(B9:B13)</f>
        <v>1037.3</v>
      </c>
      <c r="C14" s="23">
        <f>SUM(C9:C13)</f>
        <v>1037.3</v>
      </c>
      <c r="D14" s="23"/>
    </row>
    <row r="15" spans="1:4" ht="18.75" x14ac:dyDescent="0.3">
      <c r="A15" s="5" t="s">
        <v>228</v>
      </c>
      <c r="B15" s="5">
        <f>B14/1000</f>
        <v>1.0372999999999999</v>
      </c>
      <c r="C15" s="5">
        <f>C14/1000</f>
        <v>1.0372999999999999</v>
      </c>
      <c r="D15" s="23"/>
    </row>
    <row r="16" spans="1:4" ht="18.75" x14ac:dyDescent="0.3">
      <c r="A16" s="5" t="s">
        <v>169</v>
      </c>
      <c r="B16" s="23"/>
      <c r="C16" s="23"/>
      <c r="D16" s="23" t="s">
        <v>217</v>
      </c>
    </row>
    <row r="17" spans="1:4" ht="18.75" x14ac:dyDescent="0.3">
      <c r="A17" s="23" t="s">
        <v>209</v>
      </c>
      <c r="B17" s="32"/>
      <c r="C17" s="32"/>
      <c r="D17" s="23" t="s">
        <v>216</v>
      </c>
    </row>
    <row r="18" spans="1:4" ht="18.75" x14ac:dyDescent="0.3">
      <c r="A18" s="23" t="s">
        <v>159</v>
      </c>
      <c r="B18" s="32"/>
      <c r="C18" s="32"/>
      <c r="D18" s="23" t="s">
        <v>212</v>
      </c>
    </row>
    <row r="19" spans="1:4" ht="18.75" x14ac:dyDescent="0.3">
      <c r="A19" s="23" t="s">
        <v>210</v>
      </c>
      <c r="B19" s="32"/>
      <c r="C19" s="32"/>
      <c r="D19" s="23" t="s">
        <v>213</v>
      </c>
    </row>
    <row r="20" spans="1:4" ht="18.75" x14ac:dyDescent="0.3">
      <c r="A20" s="23" t="s">
        <v>211</v>
      </c>
      <c r="B20" s="23">
        <f>SUM(B17:B19)</f>
        <v>0</v>
      </c>
      <c r="C20" s="23">
        <f>SUM(C17:C19)</f>
        <v>0</v>
      </c>
      <c r="D20" s="23"/>
    </row>
    <row r="21" spans="1:4" ht="18.75" x14ac:dyDescent="0.3">
      <c r="A21" s="5" t="s">
        <v>227</v>
      </c>
      <c r="B21" s="23">
        <f>B14-B20</f>
        <v>1037.3</v>
      </c>
      <c r="C21" s="23">
        <f>C14-C20</f>
        <v>1037.3</v>
      </c>
      <c r="D21" s="23"/>
    </row>
    <row r="22" spans="1:4" ht="18.75" x14ac:dyDescent="0.3">
      <c r="A22" s="5" t="s">
        <v>229</v>
      </c>
      <c r="B22" s="5">
        <f>B21/1000</f>
        <v>1.0372999999999999</v>
      </c>
      <c r="C22" s="5">
        <f>C21/1000</f>
        <v>1.0372999999999999</v>
      </c>
      <c r="D22" s="23"/>
    </row>
    <row r="50" spans="1:1" x14ac:dyDescent="0.25">
      <c r="A50" s="1" t="s">
        <v>271</v>
      </c>
    </row>
    <row r="51" spans="1:1" x14ac:dyDescent="0.25">
      <c r="A51" t="s">
        <v>273</v>
      </c>
    </row>
    <row r="52" spans="1:1" x14ac:dyDescent="0.25">
      <c r="A52" t="s">
        <v>272</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Utilities</vt:lpstr>
      <vt:lpstr>Vehicle</vt:lpstr>
      <vt:lpstr>Diet</vt:lpstr>
      <vt:lpstr>Travel</vt:lpstr>
      <vt:lpstr>Totals</vt:lpstr>
      <vt:lpstr>Multiplier1</vt:lpstr>
      <vt:lpstr>Multiplier2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Lincke</dc:creator>
  <cp:lastModifiedBy>Susan Lincke</cp:lastModifiedBy>
  <dcterms:created xsi:type="dcterms:W3CDTF">2025-03-19T13:24:33Z</dcterms:created>
  <dcterms:modified xsi:type="dcterms:W3CDTF">2025-06-11T19:48:49Z</dcterms:modified>
</cp:coreProperties>
</file>